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10095" activeTab="4"/>
  </bookViews>
  <sheets>
    <sheet name="Beregn-udfold" sheetId="1" r:id="rId1"/>
    <sheet name="Pladevægt" sheetId="2" r:id="rId2"/>
    <sheet name="Beregn-Vaccum" sheetId="3" r:id="rId3"/>
    <sheet name="Gevind-bor" sheetId="4" r:id="rId4"/>
    <sheet name="Ark1" sheetId="5" r:id="rId5"/>
  </sheets>
  <definedNames>
    <definedName name="EXTRACT" localSheetId="2">'Beregn-Vaccum'!#REF!</definedName>
  </definedNames>
  <calcPr fullCalcOnLoad="1"/>
</workbook>
</file>

<file path=xl/comments3.xml><?xml version="1.0" encoding="utf-8"?>
<comments xmlns="http://schemas.openxmlformats.org/spreadsheetml/2006/main">
  <authors>
    <author>Jens-J?rn Hansen</author>
  </authors>
  <commentList>
    <comment ref="L22" authorId="0">
      <text>
        <r>
          <rPr>
            <b/>
            <sz val="9"/>
            <rFont val="Tahoma"/>
            <family val="2"/>
          </rPr>
          <t>Jens-Jørn Hansen:</t>
        </r>
        <r>
          <rPr>
            <sz val="9"/>
            <rFont val="Tahoma"/>
            <family val="2"/>
          </rPr>
          <t xml:space="preserve">
Ca. 250 g pr stk.</t>
        </r>
      </text>
    </comment>
  </commentList>
</comments>
</file>

<file path=xl/sharedStrings.xml><?xml version="1.0" encoding="utf-8"?>
<sst xmlns="http://schemas.openxmlformats.org/spreadsheetml/2006/main" count="164" uniqueCount="113">
  <si>
    <t>BREDE</t>
  </si>
  <si>
    <t>LÆNGDE</t>
  </si>
  <si>
    <t>TYKKELSE</t>
  </si>
  <si>
    <t>KG.</t>
  </si>
  <si>
    <t>Plus 20% spild</t>
  </si>
  <si>
    <t>Gevind-Bor</t>
  </si>
  <si>
    <t>M-Gevind</t>
  </si>
  <si>
    <t>Bor dia.</t>
  </si>
  <si>
    <t>8xS</t>
  </si>
  <si>
    <t>10xS</t>
  </si>
  <si>
    <t>12xS</t>
  </si>
  <si>
    <t>L</t>
  </si>
  <si>
    <t>Udfold længde</t>
  </si>
  <si>
    <t>Beregning af sugekop antal og størelse</t>
  </si>
  <si>
    <t>Kg.</t>
  </si>
  <si>
    <t>Sikkeheds
Faktor</t>
  </si>
  <si>
    <t>Sugekop
Transvers force
N:</t>
  </si>
  <si>
    <t>Antal
sugekopper</t>
  </si>
  <si>
    <t>Teroretisk holde kraft</t>
  </si>
  <si>
    <t>N</t>
  </si>
  <si>
    <t>Løft i 
Kg.</t>
  </si>
  <si>
    <r>
      <t xml:space="preserve">Sikkeheds
Faktor </t>
    </r>
    <r>
      <rPr>
        <sz val="12"/>
        <color indexed="10"/>
        <rFont val="Arial"/>
        <family val="2"/>
      </rPr>
      <t>2</t>
    </r>
  </si>
  <si>
    <r>
      <t xml:space="preserve">Sikkeheds
Faktor </t>
    </r>
    <r>
      <rPr>
        <sz val="12"/>
        <color indexed="10"/>
        <rFont val="Arial"/>
        <family val="2"/>
      </rPr>
      <t>4</t>
    </r>
  </si>
  <si>
    <r>
      <t>Sikkeheds
Faktor</t>
    </r>
    <r>
      <rPr>
        <sz val="12"/>
        <color indexed="10"/>
        <rFont val="Arial"/>
        <family val="2"/>
      </rPr>
      <t xml:space="preserve"> 6</t>
    </r>
  </si>
  <si>
    <r>
      <t>Sikkeheds
Faktor</t>
    </r>
    <r>
      <rPr>
        <sz val="12"/>
        <color indexed="10"/>
        <rFont val="Arial"/>
        <family val="2"/>
      </rPr>
      <t xml:space="preserve"> 8</t>
    </r>
  </si>
  <si>
    <t>Piab</t>
  </si>
  <si>
    <t>Dia.</t>
  </si>
  <si>
    <t>B30MF</t>
  </si>
  <si>
    <t>B40MF</t>
  </si>
  <si>
    <t>NBR 60</t>
  </si>
  <si>
    <t>SAB 40</t>
  </si>
  <si>
    <t>SAB 50</t>
  </si>
  <si>
    <t>SAB 60</t>
  </si>
  <si>
    <t>SAB 80</t>
  </si>
  <si>
    <t>SAB 100</t>
  </si>
  <si>
    <t>SAB 30</t>
  </si>
  <si>
    <t>SAF 30</t>
  </si>
  <si>
    <t>SAF 40</t>
  </si>
  <si>
    <t>SAF 50</t>
  </si>
  <si>
    <t>SAF 60</t>
  </si>
  <si>
    <t>SAF 80</t>
  </si>
  <si>
    <t>SAF 100</t>
  </si>
  <si>
    <r>
      <t xml:space="preserve">Schmalz
</t>
    </r>
    <r>
      <rPr>
        <b/>
        <sz val="14"/>
        <rFont val="Arial"/>
        <family val="2"/>
      </rPr>
      <t>Ved - 0,6Bar</t>
    </r>
  </si>
  <si>
    <t>" Tommer</t>
  </si>
  <si>
    <t>1/8"</t>
  </si>
  <si>
    <t>3/16"</t>
  </si>
  <si>
    <t>1/4"</t>
  </si>
  <si>
    <t>3/8"</t>
  </si>
  <si>
    <t>1/2"</t>
  </si>
  <si>
    <t>3/4"</t>
  </si>
  <si>
    <t>1"</t>
  </si>
  <si>
    <t>Pull off antal sugekopper</t>
  </si>
  <si>
    <t>Diameter</t>
  </si>
  <si>
    <t>Areal</t>
  </si>
  <si>
    <t>mm2</t>
  </si>
  <si>
    <t>FSGA 16</t>
  </si>
  <si>
    <t>SAOB 40x80</t>
  </si>
  <si>
    <t xml:space="preserve">Total </t>
  </si>
  <si>
    <t>Fratræk</t>
  </si>
  <si>
    <t>8 x S</t>
  </si>
  <si>
    <t>10 X S</t>
  </si>
  <si>
    <t>Grader</t>
  </si>
  <si>
    <t>Galv</t>
  </si>
  <si>
    <t>Sort</t>
  </si>
  <si>
    <t>Kr.</t>
  </si>
  <si>
    <t>Old nest</t>
  </si>
  <si>
    <t>New nest</t>
  </si>
  <si>
    <t>Scrap</t>
  </si>
  <si>
    <t>Antal</t>
  </si>
  <si>
    <t>Pr stk</t>
  </si>
  <si>
    <t xml:space="preserve">Besparelse </t>
  </si>
  <si>
    <t>Kg I alt</t>
  </si>
  <si>
    <t>Kg Pr stk</t>
  </si>
  <si>
    <t>Beregning af besparelse ved optimering af Nest/TMT</t>
  </si>
  <si>
    <t>6xS</t>
  </si>
  <si>
    <t>6 x S</t>
  </si>
  <si>
    <t>10 x S</t>
  </si>
  <si>
    <t>P = 3,14</t>
  </si>
  <si>
    <t>BA = Bend Allowance</t>
  </si>
  <si>
    <t>A = Bend Angle</t>
  </si>
  <si>
    <t>A = Bend Radius</t>
  </si>
  <si>
    <t>K = K-Factor (T/N)</t>
  </si>
  <si>
    <t>T = Ticknes</t>
  </si>
  <si>
    <t>BA=2xPxA(R+KxT)/360</t>
  </si>
  <si>
    <t>BA=2x3,14x90(1+0,5x1)/360</t>
  </si>
  <si>
    <t>BA= 2,36</t>
  </si>
  <si>
    <t>Lf = L1+L2-Rx2-BA</t>
  </si>
  <si>
    <t>Lf = 5+5-1x2-2,36</t>
  </si>
  <si>
    <t>LF =10,36</t>
  </si>
  <si>
    <t>Lf = Udfoldet længde</t>
  </si>
  <si>
    <t>BA=</t>
  </si>
  <si>
    <t>Fl=</t>
  </si>
  <si>
    <t>Radius</t>
  </si>
  <si>
    <t>KF</t>
  </si>
  <si>
    <t>Pi</t>
  </si>
  <si>
    <t>To calculate bend allowance you use a formula that includes a Kfactor. This formula is:</t>
  </si>
  <si>
    <t>BA = Pi * (A / 180) * (R + K * T)</t>
  </si>
  <si>
    <t>﻿</t>
  </si>
  <si>
    <t>Where:</t>
  </si>
  <si>
    <t>BA = bend allowance</t>
  </si>
  <si>
    <t>A = bend angle (in degrees)</t>
  </si>
  <si>
    <t>R = inside bend radius</t>
  </si>
  <si>
    <t>K = Kfactor</t>
  </si>
  <si>
    <t>T = material thickness</t>
  </si>
  <si>
    <t>Pi = 3.14159 (held to 5 decimal places)</t>
  </si>
  <si>
    <t>So with a test part using these values:</t>
  </si>
  <si>
    <t>A = 90 degrees</t>
  </si>
  <si>
    <t>R = 3 mm</t>
  </si>
  <si>
    <t>K = 0.440</t>
  </si>
  <si>
    <t>T = 3 mm</t>
  </si>
  <si>
    <t>S</t>
  </si>
  <si>
    <t>Udfold L: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</si>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</sst>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Ja&quot;;&quot;Ja&quot;;&quot;Nej&quot;"/>
    <numFmt numFmtId="178" formatCode="&quot;Sand&quot;;&quot;Sand&quot;;&quot;Falsk&quot;"/>
    <numFmt numFmtId="179" formatCode="&quot;Til&quot;;&quot;Til&quot;;&quot;Fra&quot;"/>
    <numFmt numFmtId="180" formatCode="[$€-2]\ #.##000_);[Red]\([$€-2]\ #.##000\)"/>
  </numFmts>
  <fonts count="56">
    <font>
      <sz val="10"/>
      <name val="Arial"/>
      <family val="0"/>
    </font>
    <font>
      <b/>
      <sz val="18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  <font>
      <b/>
      <sz val="18"/>
      <color indexed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3" borderId="2" applyNumberFormat="0" applyAlignment="0" applyProtection="0"/>
    <xf numFmtId="0" fontId="45" fillId="24" borderId="3" applyNumberFormat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2" fontId="0" fillId="0" borderId="0" xfId="0" applyNumberFormat="1" applyAlignment="1">
      <alignment horizontal="right"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174" fontId="0" fillId="0" borderId="0" xfId="0" applyNumberFormat="1" applyAlignment="1">
      <alignment horizontal="left" inden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wrapText="1"/>
    </xf>
    <xf numFmtId="172" fontId="6" fillId="35" borderId="0" xfId="0" applyNumberFormat="1" applyFont="1" applyFill="1" applyAlignment="1">
      <alignment horizontal="center"/>
    </xf>
    <xf numFmtId="172" fontId="6" fillId="0" borderId="0" xfId="0" applyNumberFormat="1" applyFont="1" applyAlignment="1">
      <alignment/>
    </xf>
    <xf numFmtId="172" fontId="6" fillId="35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72" fontId="9" fillId="36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  <xf numFmtId="172" fontId="9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9" fontId="0" fillId="0" borderId="0" xfId="0" applyNumberFormat="1" applyAlignment="1">
      <alignment/>
    </xf>
    <xf numFmtId="0" fontId="13" fillId="35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9" fontId="13" fillId="38" borderId="0" xfId="0" applyNumberFormat="1" applyFont="1" applyFill="1" applyAlignment="1">
      <alignment/>
    </xf>
    <xf numFmtId="172" fontId="6" fillId="35" borderId="15" xfId="0" applyNumberFormat="1" applyFont="1" applyFill="1" applyBorder="1" applyAlignment="1">
      <alignment horizontal="center"/>
    </xf>
    <xf numFmtId="172" fontId="6" fillId="35" borderId="16" xfId="0" applyNumberFormat="1" applyFont="1" applyFill="1" applyBorder="1" applyAlignment="1">
      <alignment/>
    </xf>
    <xf numFmtId="172" fontId="6" fillId="35" borderId="17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0" fontId="10" fillId="34" borderId="0" xfId="0" applyFont="1" applyFill="1" applyAlignment="1">
      <alignment horizontal="center" wrapText="1"/>
    </xf>
    <xf numFmtId="0" fontId="0" fillId="0" borderId="10" xfId="0" applyFill="1" applyBorder="1" applyAlignment="1">
      <alignment/>
    </xf>
    <xf numFmtId="0" fontId="10" fillId="34" borderId="18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4" borderId="19" xfId="0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10" fontId="0" fillId="2" borderId="22" xfId="0" applyNumberFormat="1" applyFill="1" applyBorder="1" applyAlignment="1">
      <alignment/>
    </xf>
    <xf numFmtId="0" fontId="0" fillId="2" borderId="21" xfId="0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27" xfId="0" applyFill="1" applyBorder="1" applyAlignment="1">
      <alignment/>
    </xf>
    <xf numFmtId="2" fontId="3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right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2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 horizontal="right"/>
    </xf>
    <xf numFmtId="0" fontId="0" fillId="39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2" fontId="3" fillId="19" borderId="10" xfId="0" applyNumberFormat="1" applyFont="1" applyFill="1" applyBorder="1" applyAlignment="1">
      <alignment/>
    </xf>
    <xf numFmtId="0" fontId="4" fillId="19" borderId="25" xfId="0" applyFont="1" applyFill="1" applyBorder="1" applyAlignment="1">
      <alignment/>
    </xf>
    <xf numFmtId="0" fontId="4" fillId="19" borderId="24" xfId="0" applyFont="1" applyFill="1" applyBorder="1" applyAlignment="1">
      <alignment/>
    </xf>
    <xf numFmtId="0" fontId="0" fillId="5" borderId="23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7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17" xfId="0" applyFill="1" applyBorder="1" applyAlignment="1">
      <alignment/>
    </xf>
    <xf numFmtId="0" fontId="0" fillId="18" borderId="23" xfId="0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21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7" xfId="0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8" xfId="0" applyFill="1" applyBorder="1" applyAlignment="1">
      <alignment/>
    </xf>
    <xf numFmtId="0" fontId="0" fillId="42" borderId="29" xfId="0" applyFill="1" applyBorder="1" applyAlignment="1">
      <alignment/>
    </xf>
    <xf numFmtId="0" fontId="0" fillId="39" borderId="30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3" borderId="30" xfId="0" applyFill="1" applyBorder="1" applyAlignment="1">
      <alignment horizontal="right"/>
    </xf>
    <xf numFmtId="2" fontId="4" fillId="19" borderId="24" xfId="0" applyNumberFormat="1" applyFont="1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0" xfId="0" applyFont="1" applyFill="1" applyBorder="1" applyAlignment="1">
      <alignment horizontal="center"/>
    </xf>
    <xf numFmtId="0" fontId="0" fillId="43" borderId="11" xfId="0" applyFill="1" applyBorder="1" applyAlignment="1">
      <alignment/>
    </xf>
    <xf numFmtId="0" fontId="4" fillId="43" borderId="31" xfId="0" applyFont="1" applyFill="1" applyBorder="1" applyAlignment="1">
      <alignment/>
    </xf>
    <xf numFmtId="0" fontId="16" fillId="43" borderId="32" xfId="0" applyFont="1" applyFill="1" applyBorder="1" applyAlignment="1">
      <alignment/>
    </xf>
    <xf numFmtId="2" fontId="16" fillId="43" borderId="32" xfId="0" applyNumberFormat="1" applyFont="1" applyFill="1" applyBorder="1" applyAlignment="1">
      <alignment/>
    </xf>
    <xf numFmtId="0" fontId="16" fillId="43" borderId="33" xfId="0" applyFont="1" applyFill="1" applyBorder="1" applyAlignment="1">
      <alignment/>
    </xf>
    <xf numFmtId="2" fontId="0" fillId="43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16" fillId="44" borderId="24" xfId="0" applyFont="1" applyFill="1" applyBorder="1" applyAlignment="1">
      <alignment horizontal="center"/>
    </xf>
    <xf numFmtId="0" fontId="16" fillId="44" borderId="28" xfId="0" applyFont="1" applyFill="1" applyBorder="1" applyAlignment="1">
      <alignment horizontal="center"/>
    </xf>
    <xf numFmtId="0" fontId="16" fillId="44" borderId="29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 wrapText="1"/>
    </xf>
    <xf numFmtId="0" fontId="10" fillId="34" borderId="27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172" fontId="6" fillId="34" borderId="23" xfId="0" applyNumberFormat="1" applyFont="1" applyFill="1" applyBorder="1" applyAlignment="1">
      <alignment horizontal="center"/>
    </xf>
    <xf numFmtId="172" fontId="6" fillId="34" borderId="20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center" wrapText="1"/>
    </xf>
    <xf numFmtId="172" fontId="6" fillId="34" borderId="19" xfId="0" applyNumberFormat="1" applyFont="1" applyFill="1" applyBorder="1" applyAlignment="1">
      <alignment horizontal="center"/>
    </xf>
    <xf numFmtId="0" fontId="1" fillId="45" borderId="0" xfId="0" applyFont="1" applyFill="1" applyAlignment="1">
      <alignment horizontal="center"/>
    </xf>
    <xf numFmtId="0" fontId="4" fillId="43" borderId="24" xfId="0" applyFont="1" applyFill="1" applyBorder="1" applyAlignment="1">
      <alignment horizontal="center"/>
    </xf>
    <xf numFmtId="0" fontId="4" fillId="43" borderId="35" xfId="0" applyFont="1" applyFill="1" applyBorder="1" applyAlignment="1">
      <alignment horizontal="center"/>
    </xf>
    <xf numFmtId="0" fontId="0" fillId="46" borderId="23" xfId="0" applyFill="1" applyBorder="1" applyAlignment="1">
      <alignment/>
    </xf>
    <xf numFmtId="0" fontId="0" fillId="46" borderId="20" xfId="0" applyFill="1" applyBorder="1" applyAlignment="1">
      <alignment/>
    </xf>
    <xf numFmtId="0" fontId="0" fillId="46" borderId="21" xfId="0" applyFill="1" applyBorder="1" applyAlignment="1">
      <alignment/>
    </xf>
    <xf numFmtId="0" fontId="0" fillId="46" borderId="17" xfId="0" applyFill="1" applyBorder="1" applyAlignment="1">
      <alignment/>
    </xf>
    <xf numFmtId="0" fontId="0" fillId="46" borderId="0" xfId="0" applyFill="1" applyBorder="1" applyAlignment="1">
      <alignment/>
    </xf>
    <xf numFmtId="0" fontId="0" fillId="47" borderId="0" xfId="0" applyFill="1" applyBorder="1" applyAlignment="1">
      <alignment/>
    </xf>
    <xf numFmtId="0" fontId="0" fillId="0" borderId="0" xfId="0" applyBorder="1" applyAlignment="1">
      <alignment/>
    </xf>
    <xf numFmtId="0" fontId="0" fillId="46" borderId="15" xfId="0" applyFill="1" applyBorder="1" applyAlignment="1">
      <alignment/>
    </xf>
    <xf numFmtId="173" fontId="0" fillId="43" borderId="10" xfId="0" applyNumberForma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Bukke faktor</a:t>
            </a:r>
          </a:p>
        </c:rich>
      </c:tx>
      <c:layout>
        <c:manualLayout>
          <c:xMode val="factor"/>
          <c:yMode val="factor"/>
          <c:x val="0.001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9775"/>
          <c:w val="0.884"/>
          <c:h val="0.6395"/>
        </c:manualLayout>
      </c:layout>
      <c:lineChart>
        <c:grouping val="standard"/>
        <c:varyColors val="0"/>
        <c:ser>
          <c:idx val="0"/>
          <c:order val="0"/>
          <c:tx>
            <c:v>8xS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'Beregn-udfold'!$A$4:$A$15</c:f>
              <c:numCache/>
            </c:numRef>
          </c:cat>
          <c:val>
            <c:numRef>
              <c:f>'Beregn-udfold'!$C$4:$C$15</c:f>
              <c:numCache/>
            </c:numRef>
          </c:val>
          <c:smooth val="0"/>
        </c:ser>
        <c:ser>
          <c:idx val="1"/>
          <c:order val="1"/>
          <c:tx>
            <c:v>10xS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'Beregn-udfold'!$A$4:$A$15</c:f>
              <c:numCache/>
            </c:numRef>
          </c:cat>
          <c:val>
            <c:numRef>
              <c:f>'Beregn-udfold'!$D$4:$D$15</c:f>
              <c:numCache/>
            </c:numRef>
          </c:val>
          <c:smooth val="0"/>
        </c:ser>
        <c:ser>
          <c:idx val="2"/>
          <c:order val="2"/>
          <c:tx>
            <c:v>12xS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'Beregn-udfold'!$A$4:$A$15</c:f>
              <c:numCache/>
            </c:numRef>
          </c:cat>
          <c:val>
            <c:numRef>
              <c:f>'Beregn-udfold'!$E$4:$E$15</c:f>
              <c:numCache/>
            </c:numRef>
          </c:val>
          <c:smooth val="0"/>
        </c:ser>
        <c:ser>
          <c:idx val="3"/>
          <c:order val="3"/>
          <c:tx>
            <c:v>6xS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'Beregn-udfold'!$B$4:$B$15</c:f>
              <c:numCache/>
            </c:numRef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Grader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K-fakter</a:t>
                </a:r>
              </a:p>
            </c:rich>
          </c:tx>
          <c:layout>
            <c:manualLayout>
              <c:xMode val="factor"/>
              <c:yMode val="factor"/>
              <c:x val="-0.002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8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28475"/>
          <c:w val="0.06525"/>
          <c:h val="0.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85725</xdr:rowOff>
    </xdr:from>
    <xdr:to>
      <xdr:col>15</xdr:col>
      <xdr:colOff>523875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61925" y="3457575"/>
        <a:ext cx="87058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17</xdr:row>
      <xdr:rowOff>47625</xdr:rowOff>
    </xdr:from>
    <xdr:to>
      <xdr:col>24</xdr:col>
      <xdr:colOff>314325</xdr:colOff>
      <xdr:row>40</xdr:row>
      <xdr:rowOff>123825</xdr:rowOff>
    </xdr:to>
    <xdr:pic>
      <xdr:nvPicPr>
        <xdr:cNvPr id="2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2933700"/>
          <a:ext cx="5295900" cy="3800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466725</xdr:colOff>
      <xdr:row>17</xdr:row>
      <xdr:rowOff>85725</xdr:rowOff>
    </xdr:from>
    <xdr:to>
      <xdr:col>33</xdr:col>
      <xdr:colOff>400050</xdr:colOff>
      <xdr:row>42</xdr:row>
      <xdr:rowOff>19050</xdr:rowOff>
    </xdr:to>
    <xdr:pic>
      <xdr:nvPicPr>
        <xdr:cNvPr id="3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35150" y="2971800"/>
          <a:ext cx="5419725" cy="398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66"/>
  <sheetViews>
    <sheetView zoomScalePageLayoutView="0" workbookViewId="0" topLeftCell="A1">
      <selection activeCell="R5" sqref="R5"/>
    </sheetView>
  </sheetViews>
  <sheetFormatPr defaultColWidth="9.140625" defaultRowHeight="12.75"/>
  <cols>
    <col min="6" max="6" width="6.140625" style="0" bestFit="1" customWidth="1"/>
    <col min="7" max="7" width="5.421875" style="0" bestFit="1" customWidth="1"/>
    <col min="8" max="9" width="6.421875" style="0" bestFit="1" customWidth="1"/>
    <col min="10" max="10" width="1.57421875" style="0" customWidth="1"/>
    <col min="11" max="11" width="4.421875" style="0" customWidth="1"/>
    <col min="12" max="12" width="22.8515625" style="0" bestFit="1" customWidth="1"/>
    <col min="13" max="13" width="6.421875" style="0" bestFit="1" customWidth="1"/>
    <col min="14" max="14" width="11.57421875" style="0" bestFit="1" customWidth="1"/>
    <col min="15" max="15" width="8.140625" style="0" bestFit="1" customWidth="1"/>
    <col min="16" max="16" width="10.7109375" style="0" bestFit="1" customWidth="1"/>
    <col min="19" max="19" width="11.140625" style="0" customWidth="1"/>
  </cols>
  <sheetData>
    <row r="2" spans="1:8" ht="12.75">
      <c r="A2" s="72" t="s">
        <v>61</v>
      </c>
      <c r="B2" s="72" t="s">
        <v>74</v>
      </c>
      <c r="C2" s="72" t="s">
        <v>8</v>
      </c>
      <c r="D2" s="72" t="s">
        <v>9</v>
      </c>
      <c r="E2" s="72" t="s">
        <v>10</v>
      </c>
      <c r="F2" s="6"/>
      <c r="G2" s="6"/>
      <c r="H2" s="6"/>
    </row>
    <row r="3" spans="1:24" ht="12.75">
      <c r="A3" s="1"/>
      <c r="B3" s="1"/>
      <c r="C3" s="1"/>
      <c r="D3" s="1"/>
      <c r="E3" s="1"/>
      <c r="G3" s="6" t="s">
        <v>75</v>
      </c>
      <c r="H3" s="6" t="s">
        <v>59</v>
      </c>
      <c r="I3" s="6" t="s">
        <v>76</v>
      </c>
      <c r="M3" s="71"/>
      <c r="N3" s="71" t="s">
        <v>75</v>
      </c>
      <c r="O3" s="77" t="s">
        <v>59</v>
      </c>
      <c r="P3" s="112" t="s">
        <v>60</v>
      </c>
      <c r="Q3" s="116"/>
      <c r="R3" s="116" t="str">
        <f>N3</f>
        <v>6 x S</v>
      </c>
      <c r="S3" s="116" t="str">
        <f>R3</f>
        <v>6 x S</v>
      </c>
      <c r="T3" s="116">
        <v>0.4</v>
      </c>
      <c r="U3" s="116">
        <v>3.14</v>
      </c>
      <c r="X3" s="2"/>
    </row>
    <row r="4" spans="1:21" ht="13.5" thickBot="1">
      <c r="A4" s="73">
        <v>0</v>
      </c>
      <c r="B4" s="74">
        <v>0.16</v>
      </c>
      <c r="C4" s="75">
        <v>0.6</v>
      </c>
      <c r="D4" s="75">
        <v>1.01</v>
      </c>
      <c r="E4" s="75">
        <v>1.54</v>
      </c>
      <c r="F4" s="2"/>
      <c r="G4" s="2"/>
      <c r="H4" s="2"/>
      <c r="K4" s="2"/>
      <c r="L4" s="43" t="s">
        <v>110</v>
      </c>
      <c r="M4" s="46" t="s">
        <v>11</v>
      </c>
      <c r="N4" s="45" t="s">
        <v>61</v>
      </c>
      <c r="O4" s="45" t="s">
        <v>61</v>
      </c>
      <c r="P4" s="113" t="s">
        <v>61</v>
      </c>
      <c r="Q4" s="117" t="s">
        <v>92</v>
      </c>
      <c r="R4" s="117" t="s">
        <v>90</v>
      </c>
      <c r="S4" s="117" t="s">
        <v>91</v>
      </c>
      <c r="T4" s="117" t="s">
        <v>93</v>
      </c>
      <c r="U4" s="117" t="s">
        <v>94</v>
      </c>
    </row>
    <row r="5" spans="1:32" ht="13.5" thickBot="1">
      <c r="A5" s="73">
        <v>15</v>
      </c>
      <c r="B5" s="74">
        <v>-0.22</v>
      </c>
      <c r="C5" s="75">
        <v>0.15</v>
      </c>
      <c r="D5" s="75">
        <v>0.44</v>
      </c>
      <c r="E5" s="75">
        <v>0.65</v>
      </c>
      <c r="F5" s="2"/>
      <c r="G5" s="2">
        <f aca="true" t="shared" si="0" ref="G5:G11">IF(N5=0,$B$4,IF(N5=15,$B$5,IF(N5=30,$B$6,IF(N5=45,$B$7,IF(N5=60,$B$8,IF(N5=75,$B$9,IF(N5=90,$B$10,IF(N5=105,$B$11,))))))))</f>
        <v>0</v>
      </c>
      <c r="H5" s="2">
        <f>IF(O5=0,$C$4,IF(O5=15,$C$5,IF(O5=30,$C$6,IF(O5=45,$C$7,IF(O5=60,$C$8,IF(O5=75,$C$9,IF(O5=90,$C$10,IF(O5=105,$C$11,))))))))</f>
        <v>0</v>
      </c>
      <c r="I5" s="2">
        <f>IF(P5=0,D$4,IF(P5=15,D$5,IF(P5=30,D$6,IF(P5=45,D$7,IF(P5=60,D$8,IF(P5=75,D$9,IF(P5=90,D$10,IF(P5=105,D$11,))))))))</f>
        <v>0</v>
      </c>
      <c r="J5" s="2"/>
      <c r="K5" s="2">
        <f>$T$3*($A$10/A5)</f>
        <v>2.4000000000000004</v>
      </c>
      <c r="L5" s="44">
        <v>2</v>
      </c>
      <c r="M5" s="7">
        <v>25</v>
      </c>
      <c r="N5" s="70">
        <v>35</v>
      </c>
      <c r="O5" s="70">
        <f>N5</f>
        <v>35</v>
      </c>
      <c r="P5" s="114">
        <f>N5</f>
        <v>35</v>
      </c>
      <c r="Q5" s="116">
        <v>2</v>
      </c>
      <c r="R5" s="146">
        <f>IF(N5&lt;1,0,$U$3*(N5/180)*(Q5+($T$3*(90/N5))*L5))</f>
        <v>2.4771111111111113</v>
      </c>
      <c r="S5" s="123">
        <f>M5+M6-(Q5*2)+R5-(L5*2)</f>
        <v>119.47711111111111</v>
      </c>
      <c r="T5" s="123">
        <f>$T$3*(N5/90)</f>
        <v>0.15555555555555556</v>
      </c>
      <c r="U5" s="116"/>
      <c r="AD5" s="109" t="s">
        <v>89</v>
      </c>
      <c r="AE5" s="110"/>
      <c r="AF5" s="111"/>
    </row>
    <row r="6" spans="1:32" ht="12.75">
      <c r="A6" s="73">
        <v>30</v>
      </c>
      <c r="B6" s="74">
        <v>-0.53</v>
      </c>
      <c r="C6" s="75">
        <v>-0.3</v>
      </c>
      <c r="D6" s="75">
        <v>-0.03</v>
      </c>
      <c r="E6" s="76">
        <v>0.28</v>
      </c>
      <c r="F6" s="8"/>
      <c r="G6" s="2">
        <f t="shared" si="0"/>
        <v>0</v>
      </c>
      <c r="H6" s="2">
        <f aca="true" t="shared" si="1" ref="H6:H11">IF(O6=0,$C$4,IF(O6=15,$C$5,IF(O6=30,$C$6,IF(O6=45,$C$7,IF(O6=60,$C$8,IF(O6=75,$C$9,IF(O6=90,$C$10,IF(O6=105,$C$11,))))))))</f>
        <v>0</v>
      </c>
      <c r="I6" s="2">
        <f aca="true" t="shared" si="2" ref="I6:I11">IF(P6=0,D$4,IF(P6=15,D$5,IF(P6=30,D$6,IF(P6=45,D$7,IF(P6=60,D$8,IF(P6=75,D$9,IF(P6=90,D$10,IF(P6=105,D$11,))))))))</f>
        <v>0</v>
      </c>
      <c r="J6" s="2"/>
      <c r="K6" s="2">
        <f>$T$3*($A$10/A6)</f>
        <v>1.2000000000000002</v>
      </c>
      <c r="L6" s="44">
        <v>2</v>
      </c>
      <c r="M6" s="7">
        <v>100</v>
      </c>
      <c r="N6" s="70">
        <v>135</v>
      </c>
      <c r="O6" s="70">
        <f>N6</f>
        <v>135</v>
      </c>
      <c r="P6" s="114">
        <f aca="true" t="shared" si="3" ref="P6:P11">N6</f>
        <v>135</v>
      </c>
      <c r="Q6" s="116">
        <v>2</v>
      </c>
      <c r="R6" s="146">
        <f>IF(N6&lt;1,0,$U$3*(N6/180)*(Q6+($T$3*(90/N6))*L6))</f>
        <v>5.965999999999999</v>
      </c>
      <c r="S6" s="123">
        <f>IF(L7&lt;1,0,M7-(Q6*2)+R6-(L6*2))</f>
        <v>22.966</v>
      </c>
      <c r="T6" s="123">
        <f>$T$3*(N6/90)</f>
        <v>0.6000000000000001</v>
      </c>
      <c r="U6" s="116"/>
      <c r="W6" s="82" t="s">
        <v>78</v>
      </c>
      <c r="X6" s="83"/>
      <c r="Y6" s="84"/>
      <c r="Z6" s="91" t="s">
        <v>83</v>
      </c>
      <c r="AA6" s="92"/>
      <c r="AB6" s="93"/>
      <c r="AD6" s="100" t="s">
        <v>86</v>
      </c>
      <c r="AE6" s="101"/>
      <c r="AF6" s="102"/>
    </row>
    <row r="7" spans="1:32" ht="12.75">
      <c r="A7" s="73">
        <v>45</v>
      </c>
      <c r="B7" s="74">
        <v>-0.88</v>
      </c>
      <c r="C7" s="75">
        <v>-0.7</v>
      </c>
      <c r="D7" s="75">
        <v>-0.54</v>
      </c>
      <c r="E7" s="75">
        <v>-0.34</v>
      </c>
      <c r="F7" s="2"/>
      <c r="G7" s="2">
        <f t="shared" si="0"/>
        <v>-1.92</v>
      </c>
      <c r="H7" s="2">
        <f t="shared" si="1"/>
        <v>-2</v>
      </c>
      <c r="I7" s="2">
        <f t="shared" si="2"/>
        <v>-2.1</v>
      </c>
      <c r="J7" s="2"/>
      <c r="K7" s="2">
        <f>$T$3*($A$10/A7)</f>
        <v>0.8</v>
      </c>
      <c r="L7" s="44">
        <v>2</v>
      </c>
      <c r="M7" s="7">
        <v>25</v>
      </c>
      <c r="N7" s="70">
        <v>90</v>
      </c>
      <c r="O7" s="70">
        <f>N7</f>
        <v>90</v>
      </c>
      <c r="P7" s="114">
        <f t="shared" si="3"/>
        <v>90</v>
      </c>
      <c r="Q7" s="116">
        <v>0</v>
      </c>
      <c r="R7" s="146">
        <f>IF(N7&lt;1,0,$U$3*(N7/180)*(Q7+($T$3*(90/N7))*L7))</f>
        <v>1.2560000000000002</v>
      </c>
      <c r="S7" s="123">
        <f>IF(L8&lt;1,0,M8-(Q7*2)+R7-(L7*2))</f>
        <v>0</v>
      </c>
      <c r="T7" s="123">
        <f>$T$3*(N7/90)</f>
        <v>0.4</v>
      </c>
      <c r="U7" s="116"/>
      <c r="W7" s="85" t="s">
        <v>77</v>
      </c>
      <c r="X7" s="86"/>
      <c r="Y7" s="87"/>
      <c r="Z7" s="94"/>
      <c r="AA7" s="95"/>
      <c r="AB7" s="96"/>
      <c r="AD7" s="103"/>
      <c r="AE7" s="104"/>
      <c r="AF7" s="105"/>
    </row>
    <row r="8" spans="1:32" ht="12.75">
      <c r="A8" s="73">
        <v>60</v>
      </c>
      <c r="B8" s="74">
        <v>-1.22</v>
      </c>
      <c r="C8" s="75">
        <v>-1.1</v>
      </c>
      <c r="D8" s="75">
        <v>-1.06</v>
      </c>
      <c r="E8" s="75">
        <v>-0.97</v>
      </c>
      <c r="F8" s="2"/>
      <c r="G8" s="2">
        <f t="shared" si="0"/>
        <v>0.16</v>
      </c>
      <c r="H8" s="2">
        <f t="shared" si="1"/>
        <v>0.6</v>
      </c>
      <c r="I8" s="2">
        <f t="shared" si="2"/>
        <v>1.01</v>
      </c>
      <c r="J8" s="2"/>
      <c r="K8" s="2">
        <f>$T$3*($A$10/A8)</f>
        <v>0.6000000000000001</v>
      </c>
      <c r="L8" s="44">
        <v>0</v>
      </c>
      <c r="M8" s="7">
        <v>0</v>
      </c>
      <c r="N8" s="70">
        <v>0</v>
      </c>
      <c r="O8" s="70">
        <v>0</v>
      </c>
      <c r="P8" s="114">
        <v>0</v>
      </c>
      <c r="Q8" s="116"/>
      <c r="R8" s="146">
        <f>IF(N8&lt;1,0,$U$3*(N8/180)*(Q8+($T$3*(90/N8))*L8))</f>
        <v>0</v>
      </c>
      <c r="S8" s="123">
        <f>IF(L9&lt;1,0,M9-(Q8*2)+R8-(L8*2))</f>
        <v>0</v>
      </c>
      <c r="T8" s="123">
        <f>$T$3*(N8/90)</f>
        <v>0</v>
      </c>
      <c r="U8" s="116"/>
      <c r="W8" s="85" t="s">
        <v>79</v>
      </c>
      <c r="X8" s="86"/>
      <c r="Y8" s="87"/>
      <c r="Z8" s="94" t="s">
        <v>84</v>
      </c>
      <c r="AA8" s="95"/>
      <c r="AB8" s="96"/>
      <c r="AD8" s="103" t="s">
        <v>87</v>
      </c>
      <c r="AE8" s="104"/>
      <c r="AF8" s="105"/>
    </row>
    <row r="9" spans="1:32" ht="12.75">
      <c r="A9" s="73">
        <v>75</v>
      </c>
      <c r="B9" s="74">
        <v>-1.57</v>
      </c>
      <c r="C9" s="75">
        <v>-1.57</v>
      </c>
      <c r="D9" s="75">
        <v>-1.58</v>
      </c>
      <c r="E9" s="75">
        <v>-1.6</v>
      </c>
      <c r="F9" s="2"/>
      <c r="G9" s="2">
        <f t="shared" si="0"/>
        <v>0.16</v>
      </c>
      <c r="H9" s="2">
        <f t="shared" si="1"/>
        <v>0.6</v>
      </c>
      <c r="I9" s="2">
        <f t="shared" si="2"/>
        <v>1.01</v>
      </c>
      <c r="J9" s="2"/>
      <c r="K9" s="2">
        <f>$T$3*($A$10/A9)</f>
        <v>0.48</v>
      </c>
      <c r="L9" s="44">
        <v>0</v>
      </c>
      <c r="M9" s="48">
        <v>0</v>
      </c>
      <c r="N9" s="70">
        <v>0</v>
      </c>
      <c r="O9" s="70">
        <v>0</v>
      </c>
      <c r="P9" s="114">
        <f t="shared" si="3"/>
        <v>0</v>
      </c>
      <c r="Q9" s="116"/>
      <c r="R9" s="146">
        <f>IF(N9&lt;1,0,$U$3*(N9/180)*(Q9+($T$3*(90/N9))*L9))</f>
        <v>0</v>
      </c>
      <c r="S9" s="123">
        <f>IF(L10&lt;1,0,M10-(Q9*2)+R9-(L9*2))</f>
        <v>0</v>
      </c>
      <c r="T9" s="123">
        <f>$T$3*(N9/90)</f>
        <v>0</v>
      </c>
      <c r="U9" s="116"/>
      <c r="W9" s="85" t="s">
        <v>80</v>
      </c>
      <c r="X9" s="86"/>
      <c r="Y9" s="87"/>
      <c r="Z9" s="94"/>
      <c r="AA9" s="95"/>
      <c r="AB9" s="96"/>
      <c r="AD9" s="103"/>
      <c r="AE9" s="104"/>
      <c r="AF9" s="105"/>
    </row>
    <row r="10" spans="1:32" ht="12.75">
      <c r="A10" s="73">
        <v>90</v>
      </c>
      <c r="B10" s="74">
        <v>-1.92</v>
      </c>
      <c r="C10" s="75">
        <v>-2</v>
      </c>
      <c r="D10" s="75">
        <v>-2.1</v>
      </c>
      <c r="E10" s="75">
        <v>-2.2</v>
      </c>
      <c r="F10" s="2"/>
      <c r="G10" s="2">
        <f t="shared" si="0"/>
        <v>0.16</v>
      </c>
      <c r="H10" s="2">
        <f t="shared" si="1"/>
        <v>0.6</v>
      </c>
      <c r="I10" s="2">
        <f t="shared" si="2"/>
        <v>1.01</v>
      </c>
      <c r="J10" s="2"/>
      <c r="K10" s="2">
        <f>$T$3*($A$10/A10)</f>
        <v>0.4</v>
      </c>
      <c r="L10" s="44">
        <v>0</v>
      </c>
      <c r="M10" s="48">
        <v>0</v>
      </c>
      <c r="N10" s="70">
        <v>0</v>
      </c>
      <c r="O10" s="70">
        <v>0</v>
      </c>
      <c r="P10" s="114">
        <v>0</v>
      </c>
      <c r="Q10" s="116"/>
      <c r="R10" s="146">
        <f>IF(N10&lt;1,0,$U$3*(N10/180)*(Q10+($T$3*(90/N10))*L10))</f>
        <v>0</v>
      </c>
      <c r="S10" s="123">
        <f>IF(L11&lt;1,0,M11-(Q10*2)+R10-(L10*2))</f>
        <v>0</v>
      </c>
      <c r="T10" s="123">
        <f>$T$3*(N10/90)</f>
        <v>0</v>
      </c>
      <c r="U10" s="116"/>
      <c r="W10" s="85" t="s">
        <v>81</v>
      </c>
      <c r="X10" s="86"/>
      <c r="Y10" s="87"/>
      <c r="Z10" s="94" t="s">
        <v>85</v>
      </c>
      <c r="AA10" s="95"/>
      <c r="AB10" s="96"/>
      <c r="AD10" s="103" t="s">
        <v>88</v>
      </c>
      <c r="AE10" s="104"/>
      <c r="AF10" s="105"/>
    </row>
    <row r="11" spans="1:32" ht="13.5" thickBot="1">
      <c r="A11" s="73">
        <v>105</v>
      </c>
      <c r="B11" s="74">
        <v>-1.33</v>
      </c>
      <c r="C11" s="75">
        <v>-1.37</v>
      </c>
      <c r="D11" s="75">
        <v>-1.4</v>
      </c>
      <c r="E11" s="75">
        <v>-1.46</v>
      </c>
      <c r="F11" s="2"/>
      <c r="G11" s="2">
        <f t="shared" si="0"/>
        <v>0.16</v>
      </c>
      <c r="H11" s="2">
        <f t="shared" si="1"/>
        <v>0.6</v>
      </c>
      <c r="I11" s="2">
        <f t="shared" si="2"/>
        <v>1.01</v>
      </c>
      <c r="J11" s="2"/>
      <c r="K11" s="2">
        <f>$T$3*($A$10/A11)</f>
        <v>0.34285714285714286</v>
      </c>
      <c r="L11" s="44">
        <v>0</v>
      </c>
      <c r="M11" s="9">
        <v>0</v>
      </c>
      <c r="N11" s="70">
        <v>0</v>
      </c>
      <c r="O11" s="70">
        <v>0</v>
      </c>
      <c r="P11" s="114">
        <f t="shared" si="3"/>
        <v>0</v>
      </c>
      <c r="Q11" s="118"/>
      <c r="R11" s="116">
        <f aca="true" t="shared" si="4" ref="R5:R11">$U$3*(N11/180)*(Q11+$T$3*L11)</f>
        <v>0</v>
      </c>
      <c r="S11" s="123"/>
      <c r="T11" s="118"/>
      <c r="U11" s="118"/>
      <c r="W11" s="88" t="s">
        <v>82</v>
      </c>
      <c r="X11" s="89"/>
      <c r="Y11" s="90"/>
      <c r="Z11" s="97"/>
      <c r="AA11" s="98"/>
      <c r="AB11" s="99"/>
      <c r="AD11" s="106"/>
      <c r="AE11" s="107"/>
      <c r="AF11" s="108"/>
    </row>
    <row r="12" spans="1:21" ht="21" thickBot="1">
      <c r="A12" s="73">
        <v>120</v>
      </c>
      <c r="B12" s="74">
        <v>-0.92</v>
      </c>
      <c r="C12" s="75">
        <v>-0.92</v>
      </c>
      <c r="D12" s="75">
        <v>-0.93</v>
      </c>
      <c r="E12" s="75">
        <v>-0.95</v>
      </c>
      <c r="F12" s="2"/>
      <c r="G12" s="2"/>
      <c r="H12" s="2"/>
      <c r="I12" s="2"/>
      <c r="J12" s="2"/>
      <c r="K12" s="2">
        <f>$T$3*($A$10/A12)</f>
        <v>0.30000000000000004</v>
      </c>
      <c r="L12" s="10" t="s">
        <v>12</v>
      </c>
      <c r="M12" s="80">
        <f>SUM(M5:M11)</f>
        <v>150</v>
      </c>
      <c r="N12" s="81">
        <f>M5+M6+M7+M8+M9+M10+M11+(L5*(G20))</f>
        <v>147.44</v>
      </c>
      <c r="O12" s="81">
        <f>M5+M6+M7+M8+M9+M10+M11+(L5*(H20))</f>
        <v>150.8</v>
      </c>
      <c r="P12" s="115">
        <f>M5+M6+M7+M8+M9+M10+M11+(L5*(I20))</f>
        <v>153.88</v>
      </c>
      <c r="Q12" s="119"/>
      <c r="R12" s="120"/>
      <c r="S12" s="121">
        <f>SUM(S5:S10)</f>
        <v>142.4431111111111</v>
      </c>
      <c r="T12" s="120"/>
      <c r="U12" s="122"/>
    </row>
    <row r="13" spans="1:23" ht="12.75">
      <c r="A13" s="73">
        <v>135</v>
      </c>
      <c r="B13" s="74">
        <v>-0.62</v>
      </c>
      <c r="C13" s="75">
        <v>-0.61</v>
      </c>
      <c r="D13" s="75">
        <v>-0.6</v>
      </c>
      <c r="E13" s="75">
        <v>-0.6</v>
      </c>
      <c r="F13" s="2"/>
      <c r="G13" s="2"/>
      <c r="H13" s="2"/>
      <c r="I13" s="2"/>
      <c r="J13" s="2"/>
      <c r="K13" s="2">
        <f>$T$3*($A$10/A13)</f>
        <v>0.26666666666666666</v>
      </c>
      <c r="L13" s="11"/>
      <c r="M13" s="2"/>
      <c r="N13" s="2"/>
      <c r="W13">
        <f>2*3.14*90*(1+0.5*1)/360</f>
        <v>2.355</v>
      </c>
    </row>
    <row r="14" spans="1:19" ht="12.75">
      <c r="A14" s="73">
        <v>150</v>
      </c>
      <c r="B14" s="74">
        <v>-0.38</v>
      </c>
      <c r="C14" s="75">
        <v>-0.37</v>
      </c>
      <c r="D14" s="75">
        <v>-0.36</v>
      </c>
      <c r="E14" s="75">
        <v>-0.35</v>
      </c>
      <c r="F14" s="2"/>
      <c r="G14" s="2"/>
      <c r="H14" s="2"/>
      <c r="I14" s="2"/>
      <c r="J14" s="2"/>
      <c r="K14" s="2">
        <f>$T$3*($A$10/A14)</f>
        <v>0.24</v>
      </c>
      <c r="L14" s="11"/>
      <c r="M14" s="11"/>
      <c r="N14" s="11"/>
      <c r="O14" s="11"/>
      <c r="P14" s="11"/>
      <c r="Q14" s="11"/>
      <c r="R14" s="11"/>
      <c r="S14" s="11"/>
    </row>
    <row r="15" spans="1:26" ht="12.75">
      <c r="A15" s="73">
        <v>165</v>
      </c>
      <c r="B15" s="74">
        <v>-0.18</v>
      </c>
      <c r="C15" s="75">
        <v>-0.17</v>
      </c>
      <c r="D15" s="75">
        <v>-0.17</v>
      </c>
      <c r="E15" s="75">
        <v>-0.16</v>
      </c>
      <c r="F15" s="2"/>
      <c r="G15" s="2"/>
      <c r="H15" s="2"/>
      <c r="I15" s="2"/>
      <c r="J15" s="2"/>
      <c r="K15" s="2">
        <f>$T$3*($A$10/A15)</f>
        <v>0.21818181818181817</v>
      </c>
      <c r="L15" s="11"/>
      <c r="M15" s="2"/>
      <c r="N15" s="2"/>
      <c r="O15" s="2"/>
      <c r="S15" s="2"/>
      <c r="V15" s="124" t="s">
        <v>96</v>
      </c>
      <c r="Z15">
        <f>U3*(N5/180)*(Q5+T3*L5)</f>
        <v>1.7095555555555557</v>
      </c>
    </row>
    <row r="16" spans="1:11" ht="12.75">
      <c r="A16" s="73">
        <v>180</v>
      </c>
      <c r="B16" s="74"/>
      <c r="C16" s="74"/>
      <c r="D16" s="74"/>
      <c r="E16" s="74"/>
      <c r="G16" s="2"/>
      <c r="H16" s="2"/>
      <c r="I16" s="2"/>
      <c r="J16" s="2"/>
      <c r="K16" s="2">
        <f>$T$3*($A$10/A16)</f>
        <v>0.2</v>
      </c>
    </row>
    <row r="17" spans="8:10" ht="12.75">
      <c r="H17" s="2"/>
      <c r="I17" s="2"/>
      <c r="J17" s="2"/>
    </row>
    <row r="18" spans="8:10" ht="12.75">
      <c r="H18" s="2"/>
      <c r="I18" s="2"/>
      <c r="J18" s="2"/>
    </row>
    <row r="20" spans="5:10" ht="12.75">
      <c r="E20" s="78" t="s">
        <v>58</v>
      </c>
      <c r="F20" s="78" t="s">
        <v>57</v>
      </c>
      <c r="G20" s="79">
        <f>SUM(G4:G19)</f>
        <v>-1.2800000000000002</v>
      </c>
      <c r="H20" s="79">
        <f>SUM(H4:H19)</f>
        <v>0.4</v>
      </c>
      <c r="I20" s="79">
        <f>SUM(I4:I19)</f>
        <v>1.94</v>
      </c>
      <c r="J20" s="69"/>
    </row>
    <row r="48" ht="12.75">
      <c r="U48" t="s">
        <v>95</v>
      </c>
    </row>
    <row r="50" ht="12.75">
      <c r="U50" s="124" t="s">
        <v>96</v>
      </c>
    </row>
    <row r="51" ht="12.75">
      <c r="U51" t="s">
        <v>97</v>
      </c>
    </row>
    <row r="52" ht="12.75">
      <c r="U52" t="s">
        <v>98</v>
      </c>
    </row>
    <row r="53" ht="12.75">
      <c r="U53" t="s">
        <v>99</v>
      </c>
    </row>
    <row r="54" ht="12.75">
      <c r="U54" t="s">
        <v>100</v>
      </c>
    </row>
    <row r="55" ht="12.75">
      <c r="U55" t="s">
        <v>101</v>
      </c>
    </row>
    <row r="56" ht="12.75">
      <c r="U56" t="s">
        <v>102</v>
      </c>
    </row>
    <row r="57" ht="12.75">
      <c r="U57" t="s">
        <v>103</v>
      </c>
    </row>
    <row r="58" ht="12.75">
      <c r="U58" t="s">
        <v>104</v>
      </c>
    </row>
    <row r="60" ht="12.75">
      <c r="U60" t="s">
        <v>105</v>
      </c>
    </row>
    <row r="61" ht="12.75">
      <c r="U61" t="s">
        <v>106</v>
      </c>
    </row>
    <row r="62" ht="12.75">
      <c r="U62" t="s">
        <v>107</v>
      </c>
    </row>
    <row r="63" ht="12.75">
      <c r="U63" t="s">
        <v>108</v>
      </c>
    </row>
    <row r="64" ht="12.75">
      <c r="U64" t="s">
        <v>109</v>
      </c>
    </row>
    <row r="65" ht="12.75">
      <c r="U65" t="s">
        <v>104</v>
      </c>
    </row>
    <row r="66" ht="12.75">
      <c r="U66" t="s">
        <v>97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8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19.421875" style="0" customWidth="1"/>
    <col min="3" max="3" width="13.7109375" style="0" customWidth="1"/>
    <col min="6" max="6" width="13.57421875" style="0" bestFit="1" customWidth="1"/>
    <col min="7" max="7" width="10.00390625" style="0" bestFit="1" customWidth="1"/>
  </cols>
  <sheetData>
    <row r="4" spans="2:3" ht="23.25" customHeight="1">
      <c r="B4" s="32" t="s">
        <v>0</v>
      </c>
      <c r="C4" s="1">
        <v>2000</v>
      </c>
    </row>
    <row r="5" spans="2:3" ht="23.25" customHeight="1">
      <c r="B5" s="32" t="s">
        <v>1</v>
      </c>
      <c r="C5" s="1">
        <v>1000</v>
      </c>
    </row>
    <row r="6" spans="2:3" ht="23.25" customHeight="1">
      <c r="B6" s="32" t="s">
        <v>2</v>
      </c>
      <c r="C6" s="1">
        <v>2</v>
      </c>
    </row>
    <row r="7" spans="2:6" ht="23.25" customHeight="1">
      <c r="B7" s="33" t="s">
        <v>3</v>
      </c>
      <c r="C7" s="3">
        <f>C4*C5*C6*0.000008</f>
        <v>32</v>
      </c>
      <c r="E7">
        <f>C7*600</f>
        <v>19200</v>
      </c>
      <c r="F7">
        <f>D7*500</f>
        <v>0</v>
      </c>
    </row>
    <row r="8" spans="2:8" ht="15.75">
      <c r="B8" s="34" t="s">
        <v>4</v>
      </c>
      <c r="C8" s="2">
        <f>C7*1.2</f>
        <v>38.4</v>
      </c>
      <c r="E8">
        <f>E7/100*67.19</f>
        <v>12900.48</v>
      </c>
      <c r="F8">
        <f>E7/100*39.78</f>
        <v>7637.76</v>
      </c>
      <c r="H8">
        <f>E8-F8</f>
        <v>5262.719999999999</v>
      </c>
    </row>
    <row r="9" ht="12.75">
      <c r="H9">
        <f>H8*7</f>
        <v>36839.03999999999</v>
      </c>
    </row>
    <row r="10" ht="12.75">
      <c r="E10">
        <f>67.19-39.82</f>
        <v>27.369999999999997</v>
      </c>
    </row>
    <row r="11" spans="2:7" ht="12.75">
      <c r="B11" s="47" t="s">
        <v>62</v>
      </c>
      <c r="C11">
        <v>6.1</v>
      </c>
      <c r="E11">
        <f>E7*E10%</f>
        <v>5255.04</v>
      </c>
      <c r="F11" s="50" t="s">
        <v>64</v>
      </c>
      <c r="G11">
        <f>E11*C11</f>
        <v>32055.744</v>
      </c>
    </row>
    <row r="12" spans="2:7" ht="12.75">
      <c r="B12" s="49" t="s">
        <v>63</v>
      </c>
      <c r="C12">
        <v>5.6</v>
      </c>
      <c r="E12">
        <f>$E$11</f>
        <v>5255.04</v>
      </c>
      <c r="F12" s="50" t="s">
        <v>64</v>
      </c>
      <c r="G12">
        <f>E12*C12</f>
        <v>29428.224</v>
      </c>
    </row>
    <row r="14" ht="13.5" thickBot="1"/>
    <row r="15" spans="2:7" ht="21" thickBot="1">
      <c r="B15" s="125" t="s">
        <v>73</v>
      </c>
      <c r="C15" s="126"/>
      <c r="D15" s="126"/>
      <c r="E15" s="126"/>
      <c r="F15" s="126"/>
      <c r="G15" s="127"/>
    </row>
    <row r="16" spans="2:7" ht="12.75">
      <c r="B16" s="61" t="s">
        <v>67</v>
      </c>
      <c r="C16" s="51"/>
      <c r="D16" s="51"/>
      <c r="E16" s="51"/>
      <c r="F16" s="52" t="s">
        <v>65</v>
      </c>
      <c r="G16" s="53"/>
    </row>
    <row r="17" spans="2:7" ht="12.75">
      <c r="B17" s="63">
        <v>0.3035</v>
      </c>
      <c r="C17" s="54">
        <f>G20*B17</f>
        <v>21.852</v>
      </c>
      <c r="D17" s="54"/>
      <c r="E17" s="54"/>
      <c r="F17" s="54" t="s">
        <v>0</v>
      </c>
      <c r="G17" s="64">
        <v>3000</v>
      </c>
    </row>
    <row r="18" spans="2:7" ht="12.75">
      <c r="B18" s="67" t="s">
        <v>69</v>
      </c>
      <c r="C18" s="68">
        <f>C17/C20</f>
        <v>7.284</v>
      </c>
      <c r="D18" s="54"/>
      <c r="E18" s="54"/>
      <c r="F18" s="54" t="s">
        <v>1</v>
      </c>
      <c r="G18" s="64">
        <v>1500</v>
      </c>
    </row>
    <row r="19" spans="2:7" ht="13.5" thickBot="1">
      <c r="B19" s="56"/>
      <c r="C19" s="54"/>
      <c r="D19" s="54"/>
      <c r="E19" s="54"/>
      <c r="F19" s="54" t="s">
        <v>2</v>
      </c>
      <c r="G19" s="64">
        <v>2</v>
      </c>
    </row>
    <row r="20" spans="2:7" ht="13.5" thickBot="1">
      <c r="B20" s="65" t="s">
        <v>68</v>
      </c>
      <c r="C20" s="66">
        <v>3</v>
      </c>
      <c r="D20" s="54"/>
      <c r="E20" s="54"/>
      <c r="F20" s="54" t="s">
        <v>3</v>
      </c>
      <c r="G20" s="55">
        <f>G17*G18*G19*0.000008</f>
        <v>72</v>
      </c>
    </row>
    <row r="21" spans="2:7" ht="12.75">
      <c r="B21" s="56"/>
      <c r="C21" s="54"/>
      <c r="D21" s="54"/>
      <c r="E21" s="54"/>
      <c r="F21" s="54"/>
      <c r="G21" s="55"/>
    </row>
    <row r="22" spans="2:7" ht="12.75">
      <c r="B22" s="56"/>
      <c r="C22" s="54"/>
      <c r="D22" s="54"/>
      <c r="E22" s="54"/>
      <c r="F22" s="54"/>
      <c r="G22" s="55"/>
    </row>
    <row r="23" spans="2:7" ht="12.75">
      <c r="B23" s="62" t="s">
        <v>67</v>
      </c>
      <c r="C23" s="54"/>
      <c r="D23" s="54"/>
      <c r="E23" s="54"/>
      <c r="F23" s="57" t="s">
        <v>66</v>
      </c>
      <c r="G23" s="55"/>
    </row>
    <row r="24" spans="2:7" ht="12.75">
      <c r="B24" s="63">
        <v>0.0825</v>
      </c>
      <c r="C24" s="54">
        <f>G27*B24</f>
        <v>4.125</v>
      </c>
      <c r="D24" s="54"/>
      <c r="E24" s="54"/>
      <c r="F24" s="54" t="s">
        <v>0</v>
      </c>
      <c r="G24" s="64">
        <v>2500</v>
      </c>
    </row>
    <row r="25" spans="2:7" ht="12.75">
      <c r="B25" s="67" t="s">
        <v>69</v>
      </c>
      <c r="C25" s="68">
        <f>C24/C20</f>
        <v>1.375</v>
      </c>
      <c r="D25" s="54"/>
      <c r="E25" s="54"/>
      <c r="F25" s="54" t="s">
        <v>1</v>
      </c>
      <c r="G25" s="64">
        <v>1250</v>
      </c>
    </row>
    <row r="26" spans="2:7" ht="12.75">
      <c r="B26" s="56"/>
      <c r="C26" s="54"/>
      <c r="D26" s="54"/>
      <c r="E26" s="54"/>
      <c r="F26" s="54" t="s">
        <v>2</v>
      </c>
      <c r="G26" s="64">
        <v>2</v>
      </c>
    </row>
    <row r="27" spans="2:7" ht="12.75">
      <c r="B27" s="62" t="s">
        <v>70</v>
      </c>
      <c r="C27" s="57" t="s">
        <v>71</v>
      </c>
      <c r="D27" s="57" t="s">
        <v>72</v>
      </c>
      <c r="E27" s="54"/>
      <c r="F27" s="54" t="s">
        <v>3</v>
      </c>
      <c r="G27" s="55">
        <f>G24*G25*G26*0.000008</f>
        <v>50</v>
      </c>
    </row>
    <row r="28" spans="2:7" ht="13.5" thickBot="1">
      <c r="B28" s="58"/>
      <c r="C28" s="59">
        <f>C17-C24</f>
        <v>17.727</v>
      </c>
      <c r="D28" s="59">
        <f>C28/C20</f>
        <v>5.909</v>
      </c>
      <c r="E28" s="59"/>
      <c r="F28" s="59"/>
      <c r="G28" s="60"/>
    </row>
  </sheetData>
  <sheetProtection/>
  <mergeCells count="1">
    <mergeCell ref="B15:G15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P8" sqref="P8"/>
    </sheetView>
  </sheetViews>
  <sheetFormatPr defaultColWidth="9.140625" defaultRowHeight="12.75"/>
  <cols>
    <col min="2" max="2" width="13.140625" style="0" bestFit="1" customWidth="1"/>
    <col min="3" max="3" width="11.8515625" style="0" bestFit="1" customWidth="1"/>
    <col min="5" max="5" width="8.57421875" style="0" bestFit="1" customWidth="1"/>
    <col min="6" max="8" width="8.140625" style="0" bestFit="1" customWidth="1"/>
    <col min="10" max="10" width="7.00390625" style="0" bestFit="1" customWidth="1"/>
    <col min="11" max="11" width="8.421875" style="0" bestFit="1" customWidth="1"/>
    <col min="12" max="12" width="12.140625" style="0" customWidth="1"/>
    <col min="13" max="13" width="5.140625" style="0" customWidth="1"/>
    <col min="14" max="14" width="12.28125" style="0" customWidth="1"/>
    <col min="15" max="15" width="5.00390625" style="0" customWidth="1"/>
  </cols>
  <sheetData>
    <row r="2" spans="1:8" ht="23.25">
      <c r="A2" s="130" t="s">
        <v>13</v>
      </c>
      <c r="B2" s="130"/>
      <c r="C2" s="130"/>
      <c r="D2" s="130"/>
      <c r="E2" s="130"/>
      <c r="F2" s="130"/>
      <c r="G2" s="130"/>
      <c r="H2" s="130"/>
    </row>
    <row r="4" spans="2:5" ht="105">
      <c r="B4" s="12" t="s">
        <v>14</v>
      </c>
      <c r="C4" s="13" t="s">
        <v>15</v>
      </c>
      <c r="D4" s="13" t="s">
        <v>16</v>
      </c>
      <c r="E4" s="13" t="s">
        <v>17</v>
      </c>
    </row>
    <row r="5" spans="2:5" ht="15">
      <c r="B5" s="14">
        <v>5</v>
      </c>
      <c r="C5" s="14">
        <v>4</v>
      </c>
      <c r="D5" s="14">
        <v>10</v>
      </c>
      <c r="E5" s="16">
        <v>10</v>
      </c>
    </row>
    <row r="6" spans="2:5" ht="15.75" thickBot="1">
      <c r="B6" s="15"/>
      <c r="C6" s="15"/>
      <c r="D6" s="15"/>
      <c r="E6" s="15"/>
    </row>
    <row r="7" spans="2:13" ht="15">
      <c r="B7" s="131" t="s">
        <v>18</v>
      </c>
      <c r="C7" s="132"/>
      <c r="D7" s="131" t="s">
        <v>51</v>
      </c>
      <c r="E7" s="134"/>
      <c r="F7" s="132"/>
      <c r="K7" t="s">
        <v>52</v>
      </c>
      <c r="L7" t="s">
        <v>53</v>
      </c>
      <c r="M7" t="s">
        <v>54</v>
      </c>
    </row>
    <row r="8" spans="2:16" ht="15.75" thickBot="1">
      <c r="B8" s="36">
        <f>B5*(9.81+(5/0.5))*C5</f>
        <v>396.20000000000005</v>
      </c>
      <c r="C8" s="37" t="s">
        <v>19</v>
      </c>
      <c r="D8" s="36"/>
      <c r="E8" s="35">
        <f>B8/(D5)</f>
        <v>39.620000000000005</v>
      </c>
      <c r="F8" s="38"/>
      <c r="G8">
        <f>D5/10*C5</f>
        <v>4</v>
      </c>
      <c r="H8">
        <f>B8/(D5/10)</f>
        <v>396.20000000000005</v>
      </c>
      <c r="K8">
        <v>50</v>
      </c>
      <c r="L8">
        <f>3.14*((K8/2)*(K8/2))</f>
        <v>1962.5</v>
      </c>
      <c r="M8" t="s">
        <v>54</v>
      </c>
      <c r="P8">
        <v>3269</v>
      </c>
    </row>
    <row r="11" spans="1:7" ht="23.25">
      <c r="A11" s="130" t="s">
        <v>13</v>
      </c>
      <c r="B11" s="130"/>
      <c r="C11" s="130"/>
      <c r="D11" s="130"/>
      <c r="E11" s="130"/>
      <c r="F11" s="130"/>
      <c r="G11" s="130"/>
    </row>
    <row r="13" spans="2:15" ht="62.25" customHeight="1">
      <c r="B13" s="13" t="s">
        <v>17</v>
      </c>
      <c r="C13" s="13" t="s">
        <v>16</v>
      </c>
      <c r="D13" s="13" t="s">
        <v>20</v>
      </c>
      <c r="E13" s="13" t="s">
        <v>21</v>
      </c>
      <c r="F13" s="13" t="s">
        <v>22</v>
      </c>
      <c r="G13" s="13" t="s">
        <v>23</v>
      </c>
      <c r="H13" s="13" t="s">
        <v>24</v>
      </c>
      <c r="J13" s="133" t="s">
        <v>25</v>
      </c>
      <c r="K13" s="133"/>
      <c r="L13" s="128" t="s">
        <v>42</v>
      </c>
      <c r="M13" s="129"/>
      <c r="N13" s="129"/>
      <c r="O13" s="129"/>
    </row>
    <row r="14" spans="2:15" ht="62.25" customHeight="1">
      <c r="B14" s="13"/>
      <c r="C14" s="13"/>
      <c r="D14" s="13"/>
      <c r="E14" s="13"/>
      <c r="F14" s="13"/>
      <c r="G14" s="13"/>
      <c r="H14" s="13"/>
      <c r="J14" s="39"/>
      <c r="K14" s="39"/>
      <c r="L14" s="41"/>
      <c r="M14" s="42"/>
      <c r="N14" s="42"/>
      <c r="O14" s="42"/>
    </row>
    <row r="15" spans="2:15" ht="15.75" thickBot="1">
      <c r="B15" s="17">
        <v>1</v>
      </c>
      <c r="C15" s="18">
        <v>65</v>
      </c>
      <c r="D15" s="19">
        <f>C15/10*B15</f>
        <v>6.5</v>
      </c>
      <c r="E15" s="20">
        <f>(C15/10)/2*B15</f>
        <v>3.25</v>
      </c>
      <c r="F15" s="20">
        <f>(C15/10)/4*B15</f>
        <v>1.625</v>
      </c>
      <c r="G15" s="20">
        <f>(C15/10)/6*B15</f>
        <v>1.0833333333333333</v>
      </c>
      <c r="H15" s="20">
        <f>(C15/10)/8*B15</f>
        <v>0.8125</v>
      </c>
      <c r="J15" s="26" t="s">
        <v>26</v>
      </c>
      <c r="K15" s="26" t="s">
        <v>19</v>
      </c>
      <c r="L15" s="27" t="s">
        <v>29</v>
      </c>
      <c r="M15" s="28" t="s">
        <v>19</v>
      </c>
      <c r="N15" s="29" t="s">
        <v>29</v>
      </c>
      <c r="O15" s="30" t="s">
        <v>19</v>
      </c>
    </row>
    <row r="16" spans="2:15" ht="15">
      <c r="B16" s="17">
        <v>2</v>
      </c>
      <c r="C16" s="21">
        <f>C15</f>
        <v>65</v>
      </c>
      <c r="D16" s="19">
        <f aca="true" t="shared" si="0" ref="D16:D34">C16/10*B16</f>
        <v>13</v>
      </c>
      <c r="E16" s="20">
        <f aca="true" t="shared" si="1" ref="E16:E34">(C16/10)/2*B16</f>
        <v>6.5</v>
      </c>
      <c r="F16" s="20">
        <f aca="true" t="shared" si="2" ref="F16:F34">(C16/10)/4*B16</f>
        <v>3.25</v>
      </c>
      <c r="G16" s="20">
        <f aca="true" t="shared" si="3" ref="G16:G34">(C16/10)/6*B16</f>
        <v>2.1666666666666665</v>
      </c>
      <c r="H16" s="20">
        <f aca="true" t="shared" si="4" ref="H16:H34">(C16/10)/8*B16</f>
        <v>1.625</v>
      </c>
      <c r="J16" s="24" t="s">
        <v>27</v>
      </c>
      <c r="K16" s="24">
        <v>32</v>
      </c>
      <c r="L16" s="25" t="s">
        <v>35</v>
      </c>
      <c r="M16" s="25">
        <v>22</v>
      </c>
      <c r="N16" s="25" t="s">
        <v>36</v>
      </c>
      <c r="O16" s="25">
        <v>38</v>
      </c>
    </row>
    <row r="17" spans="2:15" ht="15">
      <c r="B17" s="17">
        <v>3</v>
      </c>
      <c r="C17" s="21">
        <f aca="true" t="shared" si="5" ref="C17:C34">C16</f>
        <v>65</v>
      </c>
      <c r="D17" s="19">
        <f t="shared" si="0"/>
        <v>19.5</v>
      </c>
      <c r="E17" s="20">
        <f t="shared" si="1"/>
        <v>9.75</v>
      </c>
      <c r="F17" s="20">
        <f t="shared" si="2"/>
        <v>4.875</v>
      </c>
      <c r="G17" s="20">
        <f t="shared" si="3"/>
        <v>3.25</v>
      </c>
      <c r="H17" s="20">
        <f t="shared" si="4"/>
        <v>2.4375</v>
      </c>
      <c r="J17" s="22" t="s">
        <v>28</v>
      </c>
      <c r="K17" s="22">
        <v>40</v>
      </c>
      <c r="L17" s="1" t="s">
        <v>30</v>
      </c>
      <c r="M17" s="1">
        <v>38</v>
      </c>
      <c r="N17" s="1" t="s">
        <v>37</v>
      </c>
      <c r="O17" s="1">
        <v>69</v>
      </c>
    </row>
    <row r="18" spans="2:15" ht="15">
      <c r="B18" s="17">
        <v>4</v>
      </c>
      <c r="C18" s="21">
        <f t="shared" si="5"/>
        <v>65</v>
      </c>
      <c r="D18" s="19">
        <f t="shared" si="0"/>
        <v>26</v>
      </c>
      <c r="E18" s="20">
        <f t="shared" si="1"/>
        <v>13</v>
      </c>
      <c r="F18" s="20">
        <f t="shared" si="2"/>
        <v>6.5</v>
      </c>
      <c r="G18" s="20">
        <f t="shared" si="3"/>
        <v>4.333333333333333</v>
      </c>
      <c r="H18" s="20">
        <f t="shared" si="4"/>
        <v>3.25</v>
      </c>
      <c r="J18" s="22"/>
      <c r="K18" s="22"/>
      <c r="L18" s="1" t="s">
        <v>31</v>
      </c>
      <c r="M18" s="1">
        <v>53</v>
      </c>
      <c r="N18" s="1" t="s">
        <v>38</v>
      </c>
      <c r="O18" s="1">
        <v>100</v>
      </c>
    </row>
    <row r="19" spans="2:15" ht="15">
      <c r="B19" s="17">
        <v>5</v>
      </c>
      <c r="C19" s="21">
        <f t="shared" si="5"/>
        <v>65</v>
      </c>
      <c r="D19" s="19">
        <f t="shared" si="0"/>
        <v>32.5</v>
      </c>
      <c r="E19" s="20">
        <f t="shared" si="1"/>
        <v>16.25</v>
      </c>
      <c r="F19" s="20">
        <f t="shared" si="2"/>
        <v>8.125</v>
      </c>
      <c r="G19" s="20">
        <f t="shared" si="3"/>
        <v>5.416666666666666</v>
      </c>
      <c r="H19" s="20">
        <f t="shared" si="4"/>
        <v>4.0625</v>
      </c>
      <c r="J19" s="22"/>
      <c r="K19" s="22"/>
      <c r="L19" s="1" t="s">
        <v>32</v>
      </c>
      <c r="M19" s="1">
        <v>82</v>
      </c>
      <c r="N19" s="1" t="s">
        <v>39</v>
      </c>
      <c r="O19" s="1">
        <v>150</v>
      </c>
    </row>
    <row r="20" spans="2:15" ht="15">
      <c r="B20" s="17">
        <v>6</v>
      </c>
      <c r="C20" s="21">
        <f t="shared" si="5"/>
        <v>65</v>
      </c>
      <c r="D20" s="19">
        <f t="shared" si="0"/>
        <v>39</v>
      </c>
      <c r="E20" s="20">
        <f t="shared" si="1"/>
        <v>19.5</v>
      </c>
      <c r="F20" s="20">
        <f t="shared" si="2"/>
        <v>9.75</v>
      </c>
      <c r="G20" s="20">
        <f t="shared" si="3"/>
        <v>6.5</v>
      </c>
      <c r="H20" s="20">
        <f t="shared" si="4"/>
        <v>4.875</v>
      </c>
      <c r="J20" s="23"/>
      <c r="K20" s="22"/>
      <c r="L20" s="1" t="s">
        <v>33</v>
      </c>
      <c r="M20" s="1">
        <v>135</v>
      </c>
      <c r="N20" s="1" t="s">
        <v>40</v>
      </c>
      <c r="O20" s="1">
        <v>272</v>
      </c>
    </row>
    <row r="21" spans="2:15" ht="15">
      <c r="B21" s="17">
        <v>7</v>
      </c>
      <c r="C21" s="21">
        <f t="shared" si="5"/>
        <v>65</v>
      </c>
      <c r="D21" s="19">
        <f t="shared" si="0"/>
        <v>45.5</v>
      </c>
      <c r="E21" s="20">
        <f t="shared" si="1"/>
        <v>22.75</v>
      </c>
      <c r="F21" s="20">
        <f t="shared" si="2"/>
        <v>11.375</v>
      </c>
      <c r="G21" s="20">
        <f t="shared" si="3"/>
        <v>7.583333333333333</v>
      </c>
      <c r="H21" s="20">
        <f t="shared" si="4"/>
        <v>5.6875</v>
      </c>
      <c r="J21" s="1"/>
      <c r="K21" s="1"/>
      <c r="L21" s="1" t="s">
        <v>34</v>
      </c>
      <c r="M21" s="1">
        <v>190</v>
      </c>
      <c r="N21" s="1" t="s">
        <v>41</v>
      </c>
      <c r="O21" s="1">
        <v>430</v>
      </c>
    </row>
    <row r="22" spans="2:15" ht="15">
      <c r="B22" s="17">
        <v>8</v>
      </c>
      <c r="C22" s="21">
        <f t="shared" si="5"/>
        <v>65</v>
      </c>
      <c r="D22" s="19">
        <f t="shared" si="0"/>
        <v>52</v>
      </c>
      <c r="E22" s="20">
        <f t="shared" si="1"/>
        <v>26</v>
      </c>
      <c r="F22" s="20">
        <f t="shared" si="2"/>
        <v>13</v>
      </c>
      <c r="G22" s="20">
        <f t="shared" si="3"/>
        <v>8.666666666666666</v>
      </c>
      <c r="H22" s="20">
        <f t="shared" si="4"/>
        <v>6.5</v>
      </c>
      <c r="J22" s="1"/>
      <c r="K22" s="1"/>
      <c r="L22" s="40" t="s">
        <v>55</v>
      </c>
      <c r="M22" s="40">
        <v>2.3</v>
      </c>
      <c r="N22" s="1"/>
      <c r="O22" s="1"/>
    </row>
    <row r="23" spans="2:15" ht="15">
      <c r="B23" s="17">
        <v>9</v>
      </c>
      <c r="C23" s="21">
        <f t="shared" si="5"/>
        <v>65</v>
      </c>
      <c r="D23" s="19">
        <f t="shared" si="0"/>
        <v>58.5</v>
      </c>
      <c r="E23" s="20">
        <f t="shared" si="1"/>
        <v>29.25</v>
      </c>
      <c r="F23" s="20">
        <f t="shared" si="2"/>
        <v>14.625</v>
      </c>
      <c r="G23" s="20">
        <f t="shared" si="3"/>
        <v>9.75</v>
      </c>
      <c r="H23" s="20">
        <f t="shared" si="4"/>
        <v>7.3125</v>
      </c>
      <c r="J23" s="1"/>
      <c r="K23" s="1"/>
      <c r="L23" s="1" t="s">
        <v>56</v>
      </c>
      <c r="M23" s="1">
        <v>65</v>
      </c>
      <c r="N23" s="1"/>
      <c r="O23" s="1"/>
    </row>
    <row r="24" spans="2:8" ht="15">
      <c r="B24" s="17">
        <v>10</v>
      </c>
      <c r="C24" s="21">
        <f t="shared" si="5"/>
        <v>65</v>
      </c>
      <c r="D24" s="19">
        <f t="shared" si="0"/>
        <v>65</v>
      </c>
      <c r="E24" s="20">
        <f t="shared" si="1"/>
        <v>32.5</v>
      </c>
      <c r="F24" s="20">
        <f t="shared" si="2"/>
        <v>16.25</v>
      </c>
      <c r="G24" s="20">
        <f t="shared" si="3"/>
        <v>10.833333333333332</v>
      </c>
      <c r="H24" s="20">
        <f t="shared" si="4"/>
        <v>8.125</v>
      </c>
    </row>
    <row r="25" spans="2:8" ht="15">
      <c r="B25" s="17">
        <v>11</v>
      </c>
      <c r="C25" s="21">
        <f t="shared" si="5"/>
        <v>65</v>
      </c>
      <c r="D25" s="19">
        <f t="shared" si="0"/>
        <v>71.5</v>
      </c>
      <c r="E25" s="20">
        <f t="shared" si="1"/>
        <v>35.75</v>
      </c>
      <c r="F25" s="20">
        <f t="shared" si="2"/>
        <v>17.875</v>
      </c>
      <c r="G25" s="20">
        <f t="shared" si="3"/>
        <v>11.916666666666666</v>
      </c>
      <c r="H25" s="20">
        <f t="shared" si="4"/>
        <v>8.9375</v>
      </c>
    </row>
    <row r="26" spans="2:8" ht="15">
      <c r="B26" s="17">
        <v>12</v>
      </c>
      <c r="C26" s="21">
        <f t="shared" si="5"/>
        <v>65</v>
      </c>
      <c r="D26" s="19">
        <f t="shared" si="0"/>
        <v>78</v>
      </c>
      <c r="E26" s="20">
        <f t="shared" si="1"/>
        <v>39</v>
      </c>
      <c r="F26" s="20">
        <f t="shared" si="2"/>
        <v>19.5</v>
      </c>
      <c r="G26" s="20">
        <f t="shared" si="3"/>
        <v>13</v>
      </c>
      <c r="H26" s="20">
        <f t="shared" si="4"/>
        <v>9.75</v>
      </c>
    </row>
    <row r="27" spans="2:8" ht="15">
      <c r="B27" s="17">
        <v>13</v>
      </c>
      <c r="C27" s="21">
        <f t="shared" si="5"/>
        <v>65</v>
      </c>
      <c r="D27" s="19">
        <f t="shared" si="0"/>
        <v>84.5</v>
      </c>
      <c r="E27" s="20">
        <f t="shared" si="1"/>
        <v>42.25</v>
      </c>
      <c r="F27" s="20">
        <f t="shared" si="2"/>
        <v>21.125</v>
      </c>
      <c r="G27" s="20">
        <f t="shared" si="3"/>
        <v>14.083333333333332</v>
      </c>
      <c r="H27" s="20">
        <f t="shared" si="4"/>
        <v>10.5625</v>
      </c>
    </row>
    <row r="28" spans="2:8" ht="15">
      <c r="B28" s="17">
        <v>14</v>
      </c>
      <c r="C28" s="21">
        <f t="shared" si="5"/>
        <v>65</v>
      </c>
      <c r="D28" s="19">
        <f t="shared" si="0"/>
        <v>91</v>
      </c>
      <c r="E28" s="20">
        <f t="shared" si="1"/>
        <v>45.5</v>
      </c>
      <c r="F28" s="20">
        <f t="shared" si="2"/>
        <v>22.75</v>
      </c>
      <c r="G28" s="20">
        <f t="shared" si="3"/>
        <v>15.166666666666666</v>
      </c>
      <c r="H28" s="20">
        <f t="shared" si="4"/>
        <v>11.375</v>
      </c>
    </row>
    <row r="29" spans="2:8" ht="15">
      <c r="B29" s="17">
        <v>15</v>
      </c>
      <c r="C29" s="21">
        <f t="shared" si="5"/>
        <v>65</v>
      </c>
      <c r="D29" s="19">
        <f t="shared" si="0"/>
        <v>97.5</v>
      </c>
      <c r="E29" s="20">
        <f t="shared" si="1"/>
        <v>48.75</v>
      </c>
      <c r="F29" s="20">
        <f t="shared" si="2"/>
        <v>24.375</v>
      </c>
      <c r="G29" s="20">
        <f t="shared" si="3"/>
        <v>16.25</v>
      </c>
      <c r="H29" s="20">
        <f t="shared" si="4"/>
        <v>12.1875</v>
      </c>
    </row>
    <row r="30" spans="2:8" ht="15">
      <c r="B30" s="17">
        <v>16</v>
      </c>
      <c r="C30" s="21">
        <f t="shared" si="5"/>
        <v>65</v>
      </c>
      <c r="D30" s="19">
        <f t="shared" si="0"/>
        <v>104</v>
      </c>
      <c r="E30" s="20">
        <f t="shared" si="1"/>
        <v>52</v>
      </c>
      <c r="F30" s="20">
        <f t="shared" si="2"/>
        <v>26</v>
      </c>
      <c r="G30" s="20">
        <f t="shared" si="3"/>
        <v>17.333333333333332</v>
      </c>
      <c r="H30" s="20">
        <f t="shared" si="4"/>
        <v>13</v>
      </c>
    </row>
    <row r="31" spans="2:8" ht="15">
      <c r="B31" s="17">
        <v>17</v>
      </c>
      <c r="C31" s="21">
        <f t="shared" si="5"/>
        <v>65</v>
      </c>
      <c r="D31" s="19">
        <f t="shared" si="0"/>
        <v>110.5</v>
      </c>
      <c r="E31" s="20">
        <f t="shared" si="1"/>
        <v>55.25</v>
      </c>
      <c r="F31" s="20">
        <f t="shared" si="2"/>
        <v>27.625</v>
      </c>
      <c r="G31" s="20">
        <f t="shared" si="3"/>
        <v>18.416666666666664</v>
      </c>
      <c r="H31" s="20">
        <f t="shared" si="4"/>
        <v>13.8125</v>
      </c>
    </row>
    <row r="32" spans="2:8" ht="15">
      <c r="B32" s="17">
        <v>18</v>
      </c>
      <c r="C32" s="21">
        <f t="shared" si="5"/>
        <v>65</v>
      </c>
      <c r="D32" s="19">
        <f t="shared" si="0"/>
        <v>117</v>
      </c>
      <c r="E32" s="20">
        <f t="shared" si="1"/>
        <v>58.5</v>
      </c>
      <c r="F32" s="20">
        <f t="shared" si="2"/>
        <v>29.25</v>
      </c>
      <c r="G32" s="20">
        <f t="shared" si="3"/>
        <v>19.5</v>
      </c>
      <c r="H32" s="20">
        <f t="shared" si="4"/>
        <v>14.625</v>
      </c>
    </row>
    <row r="33" spans="2:8" ht="15">
      <c r="B33" s="17">
        <v>19</v>
      </c>
      <c r="C33" s="21">
        <f t="shared" si="5"/>
        <v>65</v>
      </c>
      <c r="D33" s="19">
        <f t="shared" si="0"/>
        <v>123.5</v>
      </c>
      <c r="E33" s="20">
        <f t="shared" si="1"/>
        <v>61.75</v>
      </c>
      <c r="F33" s="20">
        <f t="shared" si="2"/>
        <v>30.875</v>
      </c>
      <c r="G33" s="20">
        <f t="shared" si="3"/>
        <v>20.583333333333332</v>
      </c>
      <c r="H33" s="20">
        <f t="shared" si="4"/>
        <v>15.4375</v>
      </c>
    </row>
    <row r="34" spans="2:8" ht="15">
      <c r="B34" s="17">
        <v>20</v>
      </c>
      <c r="C34" s="21">
        <f t="shared" si="5"/>
        <v>65</v>
      </c>
      <c r="D34" s="19">
        <f t="shared" si="0"/>
        <v>130</v>
      </c>
      <c r="E34" s="20">
        <f t="shared" si="1"/>
        <v>65</v>
      </c>
      <c r="F34" s="20">
        <f t="shared" si="2"/>
        <v>32.5</v>
      </c>
      <c r="G34" s="20">
        <f t="shared" si="3"/>
        <v>21.666666666666664</v>
      </c>
      <c r="H34" s="20">
        <f t="shared" si="4"/>
        <v>16.25</v>
      </c>
    </row>
  </sheetData>
  <sheetProtection/>
  <mergeCells count="6">
    <mergeCell ref="L13:O13"/>
    <mergeCell ref="A2:H2"/>
    <mergeCell ref="A11:G11"/>
    <mergeCell ref="B7:C7"/>
    <mergeCell ref="J13:K13"/>
    <mergeCell ref="D7:F7"/>
  </mergeCell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12.140625" style="0" bestFit="1" customWidth="1"/>
    <col min="6" max="6" width="12.28125" style="0" bestFit="1" customWidth="1"/>
  </cols>
  <sheetData>
    <row r="2" spans="1:8" ht="22.5">
      <c r="A2" s="135" t="s">
        <v>5</v>
      </c>
      <c r="B2" s="135"/>
      <c r="C2" s="135"/>
      <c r="D2" s="135"/>
      <c r="E2" s="135"/>
      <c r="F2" s="135"/>
      <c r="G2" s="135"/>
      <c r="H2" s="135"/>
    </row>
    <row r="4" spans="2:8" ht="18.75">
      <c r="B4" s="4" t="s">
        <v>6</v>
      </c>
      <c r="C4" s="4"/>
      <c r="D4" s="4" t="s">
        <v>7</v>
      </c>
      <c r="F4" s="4" t="s">
        <v>43</v>
      </c>
      <c r="H4" s="4" t="s">
        <v>7</v>
      </c>
    </row>
    <row r="5" spans="2:8" ht="18.75">
      <c r="B5" s="5">
        <v>2</v>
      </c>
      <c r="C5" s="5"/>
      <c r="D5" s="5">
        <v>1.6</v>
      </c>
      <c r="F5" s="31" t="s">
        <v>44</v>
      </c>
      <c r="H5">
        <v>8.7</v>
      </c>
    </row>
    <row r="6" spans="2:6" ht="18.75">
      <c r="B6" s="5">
        <v>2.2</v>
      </c>
      <c r="C6" s="5"/>
      <c r="D6" s="5">
        <v>1.7</v>
      </c>
      <c r="F6" s="31" t="s">
        <v>45</v>
      </c>
    </row>
    <row r="7" spans="2:6" ht="18.75">
      <c r="B7" s="5">
        <v>2.3</v>
      </c>
      <c r="C7" s="5"/>
      <c r="D7" s="5">
        <v>1.9</v>
      </c>
      <c r="F7" s="31" t="s">
        <v>46</v>
      </c>
    </row>
    <row r="8" spans="2:6" ht="18.75">
      <c r="B8" s="5">
        <v>2.5</v>
      </c>
      <c r="C8" s="5"/>
      <c r="D8" s="5">
        <v>2</v>
      </c>
      <c r="F8" s="31" t="s">
        <v>47</v>
      </c>
    </row>
    <row r="9" spans="2:6" ht="18.75">
      <c r="B9" s="5">
        <v>2.6</v>
      </c>
      <c r="C9" s="5"/>
      <c r="D9" s="5">
        <v>2.15</v>
      </c>
      <c r="F9" s="31" t="s">
        <v>48</v>
      </c>
    </row>
    <row r="10" spans="2:6" ht="18.75">
      <c r="B10" s="5">
        <v>3</v>
      </c>
      <c r="C10" s="5"/>
      <c r="D10" s="5">
        <v>2.5</v>
      </c>
      <c r="F10" s="31" t="s">
        <v>49</v>
      </c>
    </row>
    <row r="11" spans="2:6" ht="18.75">
      <c r="B11" s="5">
        <v>3.5</v>
      </c>
      <c r="C11" s="5"/>
      <c r="D11" s="5">
        <v>2.9</v>
      </c>
      <c r="F11" s="31" t="s">
        <v>50</v>
      </c>
    </row>
    <row r="12" spans="2:6" ht="18.75">
      <c r="B12" s="5">
        <v>4</v>
      </c>
      <c r="C12" s="5"/>
      <c r="D12" s="5">
        <v>3.3</v>
      </c>
      <c r="F12" s="31"/>
    </row>
    <row r="13" spans="2:6" ht="18.75">
      <c r="B13" s="5">
        <v>5</v>
      </c>
      <c r="C13" s="5"/>
      <c r="D13" s="5">
        <v>4.2</v>
      </c>
      <c r="F13" s="31"/>
    </row>
    <row r="14" spans="2:6" ht="18.75">
      <c r="B14" s="5">
        <v>6</v>
      </c>
      <c r="C14" s="5"/>
      <c r="D14" s="5">
        <v>5</v>
      </c>
      <c r="F14" s="31"/>
    </row>
    <row r="15" spans="2:6" ht="18.75">
      <c r="B15" s="5">
        <v>7</v>
      </c>
      <c r="C15" s="5"/>
      <c r="D15" s="5">
        <v>6</v>
      </c>
      <c r="F15" s="31"/>
    </row>
    <row r="16" spans="2:6" ht="18.75">
      <c r="B16" s="5">
        <v>8</v>
      </c>
      <c r="C16" s="5"/>
      <c r="D16" s="5">
        <v>6.8</v>
      </c>
      <c r="F16" s="31"/>
    </row>
    <row r="17" spans="2:6" ht="18.75">
      <c r="B17" s="5">
        <v>9</v>
      </c>
      <c r="C17" s="5"/>
      <c r="D17" s="5">
        <v>7.8</v>
      </c>
      <c r="F17" s="31"/>
    </row>
    <row r="18" spans="2:6" ht="18.75">
      <c r="B18" s="5">
        <v>10</v>
      </c>
      <c r="C18" s="5"/>
      <c r="D18" s="5">
        <v>8.5</v>
      </c>
      <c r="F18" s="31"/>
    </row>
    <row r="19" spans="2:6" ht="18.75">
      <c r="B19" s="5">
        <v>11</v>
      </c>
      <c r="C19" s="5"/>
      <c r="D19" s="5">
        <v>9.5</v>
      </c>
      <c r="F19" s="31"/>
    </row>
    <row r="20" spans="2:6" ht="18.75">
      <c r="B20" s="5">
        <v>12</v>
      </c>
      <c r="C20" s="5"/>
      <c r="D20" s="5">
        <v>10.3</v>
      </c>
      <c r="F20" s="31"/>
    </row>
  </sheetData>
  <sheetProtection/>
  <mergeCells count="1">
    <mergeCell ref="A2:H2"/>
  </mergeCells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4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5.421875" style="0" bestFit="1" customWidth="1"/>
    <col min="2" max="2" width="6.421875" style="0" customWidth="1"/>
    <col min="3" max="3" width="2.28125" style="0" customWidth="1"/>
    <col min="4" max="4" width="3.421875" style="0" bestFit="1" customWidth="1"/>
    <col min="8" max="8" width="10.7109375" style="0" bestFit="1" customWidth="1"/>
    <col min="11" max="11" width="10.7109375" style="0" bestFit="1" customWidth="1"/>
    <col min="12" max="12" width="5.421875" style="0" customWidth="1"/>
    <col min="13" max="13" width="5.00390625" style="0" bestFit="1" customWidth="1"/>
    <col min="18" max="18" width="33.28125" style="0" customWidth="1"/>
  </cols>
  <sheetData>
    <row r="2" ht="12.75">
      <c r="A2" s="6"/>
    </row>
    <row r="3" spans="1:16" ht="12.75">
      <c r="A3" s="6"/>
      <c r="B3" s="6"/>
      <c r="E3" s="71"/>
      <c r="F3" s="71" t="s">
        <v>75</v>
      </c>
      <c r="G3" s="77" t="s">
        <v>59</v>
      </c>
      <c r="H3" s="112" t="s">
        <v>60</v>
      </c>
      <c r="I3" s="116"/>
      <c r="J3" s="116" t="str">
        <f>F3</f>
        <v>6 x S</v>
      </c>
      <c r="K3" s="116" t="str">
        <f>J3</f>
        <v>6 x S</v>
      </c>
      <c r="L3" s="116">
        <v>0.5</v>
      </c>
      <c r="M3" s="116">
        <v>3.1416</v>
      </c>
      <c r="P3" s="2"/>
    </row>
    <row r="4" spans="1:13" ht="12.75">
      <c r="A4" s="2"/>
      <c r="D4" s="44" t="s">
        <v>110</v>
      </c>
      <c r="E4" s="46" t="s">
        <v>11</v>
      </c>
      <c r="F4" s="45" t="s">
        <v>61</v>
      </c>
      <c r="G4" s="45" t="s">
        <v>61</v>
      </c>
      <c r="H4" s="113" t="s">
        <v>61</v>
      </c>
      <c r="I4" s="117" t="s">
        <v>92</v>
      </c>
      <c r="J4" s="117" t="s">
        <v>90</v>
      </c>
      <c r="K4" s="117" t="s">
        <v>91</v>
      </c>
      <c r="L4" s="117" t="s">
        <v>93</v>
      </c>
      <c r="M4" s="117" t="s">
        <v>94</v>
      </c>
    </row>
    <row r="5" spans="1:13" ht="12.75">
      <c r="A5" s="2"/>
      <c r="B5" s="2"/>
      <c r="C5" s="2"/>
      <c r="D5" s="44">
        <v>1</v>
      </c>
      <c r="E5" s="7">
        <v>25</v>
      </c>
      <c r="F5" s="70">
        <v>90</v>
      </c>
      <c r="G5" s="70">
        <f>F5</f>
        <v>90</v>
      </c>
      <c r="H5" s="114">
        <f>F5</f>
        <v>90</v>
      </c>
      <c r="I5" s="116">
        <v>1</v>
      </c>
      <c r="J5" s="116">
        <f>IF(F5&lt;1,0,($M$3*(F5/180)*(I5+$L$3*D5)))</f>
        <v>2.3562</v>
      </c>
      <c r="K5" s="123">
        <f>E5+E6-(I5*2)+J5-(D5*2)</f>
        <v>123.3562</v>
      </c>
      <c r="L5" s="116">
        <f>IF(E6&lt;1,0,$L$3*(F5/90))</f>
        <v>0.5</v>
      </c>
      <c r="M5" s="116"/>
    </row>
    <row r="6" spans="1:13" ht="12.75">
      <c r="A6" s="2"/>
      <c r="B6" s="2"/>
      <c r="C6" s="2"/>
      <c r="D6" s="44">
        <v>1</v>
      </c>
      <c r="E6" s="7">
        <v>100</v>
      </c>
      <c r="F6" s="70">
        <v>90</v>
      </c>
      <c r="G6" s="70">
        <v>35</v>
      </c>
      <c r="H6" s="114">
        <f aca="true" t="shared" si="0" ref="H6:H11">F6</f>
        <v>90</v>
      </c>
      <c r="I6" s="116">
        <v>1</v>
      </c>
      <c r="J6" s="116">
        <f>IF(F6&lt;1,0,($M$3*(F6/180)*(I6+$L$3*D6)))</f>
        <v>2.3562</v>
      </c>
      <c r="K6" s="123">
        <f>IF(D7&lt;1,0,E7-(I6*2)+J6-(D6*2))</f>
        <v>23.3562</v>
      </c>
      <c r="L6" s="116">
        <f>IF(E7&lt;1,0,$L$3*(F6/90))</f>
        <v>0.5</v>
      </c>
      <c r="M6" s="116"/>
    </row>
    <row r="7" spans="1:13" ht="12.75">
      <c r="A7" s="2"/>
      <c r="B7" s="2"/>
      <c r="C7" s="2"/>
      <c r="D7" s="44">
        <v>1</v>
      </c>
      <c r="E7" s="7">
        <v>25</v>
      </c>
      <c r="F7" s="70">
        <v>90</v>
      </c>
      <c r="G7" s="70">
        <f>F7</f>
        <v>90</v>
      </c>
      <c r="H7" s="114">
        <f t="shared" si="0"/>
        <v>90</v>
      </c>
      <c r="I7" s="116">
        <v>1</v>
      </c>
      <c r="J7" s="116">
        <f>IF(F7&lt;1,0,($M$3*(F7/180)*(I7+$L$3*D7)))</f>
        <v>2.3562</v>
      </c>
      <c r="K7" s="123">
        <f>IF(D8&lt;1,0,E8-(I7*2)+J7-(D7*2))</f>
        <v>8.3562</v>
      </c>
      <c r="L7" s="116">
        <f>IF(E8&lt;1,0,$L$3*(F7/90))</f>
        <v>0.5</v>
      </c>
      <c r="M7" s="116"/>
    </row>
    <row r="8" spans="1:13" ht="12.75">
      <c r="A8" s="2"/>
      <c r="B8" s="2"/>
      <c r="C8" s="2"/>
      <c r="D8" s="44">
        <v>1</v>
      </c>
      <c r="E8" s="7">
        <v>10</v>
      </c>
      <c r="F8" s="70">
        <v>0</v>
      </c>
      <c r="G8" s="70">
        <v>0</v>
      </c>
      <c r="H8" s="114">
        <v>0</v>
      </c>
      <c r="I8" s="116"/>
      <c r="J8" s="116">
        <f>IF(F8&lt;1,0,($M$3*(F8/180)*(I8+$L$3*D8)))</f>
        <v>0</v>
      </c>
      <c r="K8" s="123">
        <f>IF(D9&lt;1,0,E9-(I8*2)+J8-(D8*2))</f>
        <v>0</v>
      </c>
      <c r="L8" s="116">
        <f>IF(E9&lt;1,0,$L$3*(F8/90))</f>
        <v>0</v>
      </c>
      <c r="M8" s="116"/>
    </row>
    <row r="9" spans="1:13" ht="12.75">
      <c r="A9" s="2"/>
      <c r="B9" s="2"/>
      <c r="C9" s="2"/>
      <c r="D9" s="44">
        <v>0</v>
      </c>
      <c r="E9" s="48">
        <v>0</v>
      </c>
      <c r="F9" s="70">
        <v>0</v>
      </c>
      <c r="G9" s="70">
        <v>0</v>
      </c>
      <c r="H9" s="114">
        <f t="shared" si="0"/>
        <v>0</v>
      </c>
      <c r="I9" s="116"/>
      <c r="J9" s="116">
        <f>IF(F9&lt;1,0,($M$3*(F9/180)*(I9+$L$3*D9)))</f>
        <v>0</v>
      </c>
      <c r="K9" s="123">
        <f>IF(D10&lt;1,0,E10-(I9*2)+J9-(D9*2))</f>
        <v>0</v>
      </c>
      <c r="L9" s="116">
        <f>IF(E10&lt;1,0,$L$3*(F9/90))</f>
        <v>0</v>
      </c>
      <c r="M9" s="116"/>
    </row>
    <row r="10" spans="1:13" ht="12.75">
      <c r="A10" s="2"/>
      <c r="B10" s="2"/>
      <c r="C10" s="2"/>
      <c r="D10" s="44">
        <v>0</v>
      </c>
      <c r="E10" s="48">
        <v>0</v>
      </c>
      <c r="F10" s="70">
        <v>0</v>
      </c>
      <c r="G10" s="70">
        <v>0</v>
      </c>
      <c r="H10" s="114">
        <v>0</v>
      </c>
      <c r="I10" s="116"/>
      <c r="J10" s="116">
        <f>IF(F10&lt;1,0,($M$3*(F10/180)*(I10+$L$3*D10)))</f>
        <v>0</v>
      </c>
      <c r="K10" s="123">
        <f>IF(D11&lt;1,0,E11-(I10*2)+J10-(D10*2))</f>
        <v>0</v>
      </c>
      <c r="L10" s="116">
        <f>IF(E11&lt;1,0,$L$3*(F10/90))</f>
        <v>0</v>
      </c>
      <c r="M10" s="116"/>
    </row>
    <row r="11" spans="1:13" ht="13.5" thickBot="1">
      <c r="A11" s="2"/>
      <c r="B11" s="2"/>
      <c r="C11" s="2"/>
      <c r="D11" s="44">
        <v>0</v>
      </c>
      <c r="E11" s="9">
        <v>0</v>
      </c>
      <c r="F11" s="70">
        <v>0</v>
      </c>
      <c r="G11" s="70">
        <v>0</v>
      </c>
      <c r="H11" s="114">
        <f t="shared" si="0"/>
        <v>0</v>
      </c>
      <c r="I11" s="118"/>
      <c r="J11" s="116">
        <f>$M$3*(F11/180)*(I11+$L$3*D11)</f>
        <v>0</v>
      </c>
      <c r="K11" s="123"/>
      <c r="L11" s="118"/>
      <c r="M11" s="118"/>
    </row>
    <row r="12" spans="1:13" ht="21" thickBot="1">
      <c r="A12" s="2"/>
      <c r="B12" s="2"/>
      <c r="C12" s="2"/>
      <c r="D12" s="10"/>
      <c r="E12" s="2"/>
      <c r="F12" s="2"/>
      <c r="I12" s="136" t="s">
        <v>111</v>
      </c>
      <c r="J12" s="137"/>
      <c r="K12" s="121">
        <f>SUM(K5:K10)</f>
        <v>155.0686</v>
      </c>
      <c r="L12" s="120"/>
      <c r="M12" s="122"/>
    </row>
    <row r="13" spans="1:8" ht="12.75">
      <c r="A13" s="2"/>
      <c r="B13" s="2"/>
      <c r="C13" s="2"/>
      <c r="D13" s="11"/>
      <c r="E13" s="11"/>
      <c r="F13" s="11"/>
      <c r="G13" s="11"/>
      <c r="H13" s="11"/>
    </row>
    <row r="14" spans="1:4" ht="13.5" thickBot="1">
      <c r="A14" s="2"/>
      <c r="B14" s="2"/>
      <c r="C14" s="2"/>
      <c r="D14" s="11"/>
    </row>
    <row r="15" spans="1:11" ht="12.75">
      <c r="A15" s="2"/>
      <c r="B15" s="2"/>
      <c r="C15" s="2"/>
      <c r="D15" s="11"/>
      <c r="F15" s="82" t="s">
        <v>78</v>
      </c>
      <c r="G15" s="83"/>
      <c r="H15" s="84"/>
      <c r="I15" s="91" t="s">
        <v>83</v>
      </c>
      <c r="J15" s="138"/>
      <c r="K15" s="139"/>
    </row>
    <row r="16" spans="1:11" ht="12.75">
      <c r="A16" s="2"/>
      <c r="B16" s="2"/>
      <c r="C16" s="2"/>
      <c r="F16" s="85" t="s">
        <v>77</v>
      </c>
      <c r="G16" s="86"/>
      <c r="H16" s="87"/>
      <c r="I16" s="94"/>
      <c r="J16" s="142"/>
      <c r="K16" s="140"/>
    </row>
    <row r="17" spans="6:11" ht="12.75">
      <c r="F17" s="85" t="s">
        <v>79</v>
      </c>
      <c r="G17" s="86"/>
      <c r="H17" s="87"/>
      <c r="I17" s="94" t="s">
        <v>84</v>
      </c>
      <c r="J17" s="142"/>
      <c r="K17" s="140"/>
    </row>
    <row r="18" spans="6:11" ht="12.75">
      <c r="F18" s="85" t="s">
        <v>80</v>
      </c>
      <c r="G18" s="86"/>
      <c r="H18" s="87"/>
      <c r="I18" s="94"/>
      <c r="J18" s="142"/>
      <c r="K18" s="140"/>
    </row>
    <row r="19" spans="6:11" ht="12.75">
      <c r="F19" s="85" t="s">
        <v>81</v>
      </c>
      <c r="G19" s="86"/>
      <c r="H19" s="87"/>
      <c r="I19" s="94" t="s">
        <v>85</v>
      </c>
      <c r="J19" s="142"/>
      <c r="K19" s="140"/>
    </row>
    <row r="20" spans="6:11" ht="13.5" thickBot="1">
      <c r="F20" s="88" t="s">
        <v>82</v>
      </c>
      <c r="G20" s="89"/>
      <c r="H20" s="90"/>
      <c r="I20" s="97"/>
      <c r="J20" s="145"/>
      <c r="K20" s="141"/>
    </row>
    <row r="21" spans="6:11" ht="12.75">
      <c r="F21" s="124" t="s">
        <v>96</v>
      </c>
      <c r="J21" s="143"/>
      <c r="K21" s="143"/>
    </row>
    <row r="22" spans="6:11" ht="12.75">
      <c r="F22">
        <f>2*M3*F5*(D5+L3*I5)/360</f>
        <v>2.3562</v>
      </c>
      <c r="I22">
        <f>M3*(F5/180)*(I5+L3*D5)</f>
        <v>2.3562</v>
      </c>
      <c r="J22" s="144"/>
      <c r="K22" s="144"/>
    </row>
    <row r="24" ht="12.75">
      <c r="N24" t="s">
        <v>112</v>
      </c>
    </row>
  </sheetData>
  <sheetProtection/>
  <mergeCells count="1">
    <mergeCell ref="I12:J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Jørn Hansen</dc:creator>
  <cp:keywords/>
  <dc:description/>
  <cp:lastModifiedBy>jjh-asus</cp:lastModifiedBy>
  <cp:lastPrinted>2008-02-07T08:55:57Z</cp:lastPrinted>
  <dcterms:created xsi:type="dcterms:W3CDTF">2002-08-06T10:37:59Z</dcterms:created>
  <dcterms:modified xsi:type="dcterms:W3CDTF">2016-10-26T18:25:05Z</dcterms:modified>
  <cp:category/>
  <cp:version/>
  <cp:contentType/>
  <cp:contentStatus/>
</cp:coreProperties>
</file>